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C:\Users\m-moradi\Documents\My Documents\Optimax\Oman\Face to Face training\Share\"/>
    </mc:Choice>
  </mc:AlternateContent>
  <xr:revisionPtr revIDLastSave="0" documentId="13_ncr:1_{F517D426-B9A5-4335-A711-6D17ACC6DA7D}" xr6:coauthVersionLast="45" xr6:coauthVersionMax="45" xr10:uidLastSave="{00000000-0000-0000-0000-000000000000}"/>
  <bookViews>
    <workbookView xWindow="-108" yWindow="-108" windowWidth="23256" windowHeight="12576" tabRatio="601" activeTab="1" xr2:uid="{00000000-000D-0000-FFFF-FFFF00000000}"/>
  </bookViews>
  <sheets>
    <sheet name="Plotting Points" sheetId="1" r:id="rId1"/>
    <sheet name="Fitting Straight Line" sheetId="5" r:id="rId2"/>
    <sheet name="Adjusting" sheetId="50712" r:id="rId3"/>
    <sheet name="LifeTable" sheetId="8" r:id="rId4"/>
  </sheets>
  <definedNames>
    <definedName name="_xlnm.Print_Area" localSheetId="2">Adjusting!$A$1:$L$30</definedName>
    <definedName name="_xlnm.Print_Area" localSheetId="1">'Fitting Straight Line'!$A$1:$AL$35</definedName>
  </definedNames>
  <calcPr calcId="181029"/>
</workbook>
</file>

<file path=xl/calcChain.xml><?xml version="1.0" encoding="utf-8"?>
<calcChain xmlns="http://schemas.openxmlformats.org/spreadsheetml/2006/main">
  <c r="B2" i="50712" l="1"/>
  <c r="H2" i="50712"/>
  <c r="I2" i="50712"/>
  <c r="E8" i="50712" s="1"/>
  <c r="B3" i="50712"/>
  <c r="H3" i="50712"/>
  <c r="I3" i="50712"/>
  <c r="F8" i="50712"/>
  <c r="B9" i="50712"/>
  <c r="C9" i="50712"/>
  <c r="B12" i="50712"/>
  <c r="C12" i="50712"/>
  <c r="D12" i="50712"/>
  <c r="B13" i="50712"/>
  <c r="C13" i="50712"/>
  <c r="D13" i="50712"/>
  <c r="B14" i="50712"/>
  <c r="C14" i="50712"/>
  <c r="D14" i="50712"/>
  <c r="B15" i="50712"/>
  <c r="C15" i="50712"/>
  <c r="D15" i="50712"/>
  <c r="B16" i="50712"/>
  <c r="C16" i="50712"/>
  <c r="D16" i="50712"/>
  <c r="B17" i="50712"/>
  <c r="C17" i="50712"/>
  <c r="D17" i="50712"/>
  <c r="B18" i="50712"/>
  <c r="C18" i="50712"/>
  <c r="D18" i="50712"/>
  <c r="B19" i="50712"/>
  <c r="C19" i="50712"/>
  <c r="D19" i="50712"/>
  <c r="B20" i="50712"/>
  <c r="C20" i="50712"/>
  <c r="D20" i="50712"/>
  <c r="B21" i="50712"/>
  <c r="C21" i="50712"/>
  <c r="D21" i="50712"/>
  <c r="B22" i="50712"/>
  <c r="C22" i="50712"/>
  <c r="D22" i="50712"/>
  <c r="B23" i="50712"/>
  <c r="C23" i="50712"/>
  <c r="D23" i="50712"/>
  <c r="B24" i="50712"/>
  <c r="C24" i="50712"/>
  <c r="D24" i="50712"/>
  <c r="B25" i="50712"/>
  <c r="C25" i="50712"/>
  <c r="D25" i="50712"/>
  <c r="B26" i="50712"/>
  <c r="C26" i="50712"/>
  <c r="D26" i="50712"/>
  <c r="B27" i="50712"/>
  <c r="C27" i="50712"/>
  <c r="D27" i="50712"/>
  <c r="B29" i="50712"/>
  <c r="C29" i="50712"/>
  <c r="G2" i="5"/>
  <c r="U2" i="5" s="1"/>
  <c r="AH2" i="5" s="1"/>
  <c r="H2" i="5"/>
  <c r="V2" i="5"/>
  <c r="AI2" i="5" s="1"/>
  <c r="C3" i="5"/>
  <c r="Q3" i="5" s="1"/>
  <c r="AD3" i="5" s="1"/>
  <c r="G3" i="5"/>
  <c r="U3" i="5" s="1"/>
  <c r="AH3" i="5" s="1"/>
  <c r="H3" i="5"/>
  <c r="V3" i="5"/>
  <c r="AI3" i="5" s="1"/>
  <c r="O8" i="5"/>
  <c r="O9" i="5"/>
  <c r="O10" i="5"/>
  <c r="O11" i="5"/>
  <c r="O12" i="5"/>
  <c r="O13" i="5"/>
  <c r="O14" i="5"/>
  <c r="O15" i="5"/>
  <c r="O16" i="5"/>
  <c r="O17" i="5"/>
  <c r="O18" i="5"/>
  <c r="L19" i="5"/>
  <c r="O19" i="5"/>
  <c r="O20" i="5"/>
  <c r="O21" i="5"/>
  <c r="B2" i="8"/>
  <c r="G2" i="8"/>
  <c r="H2" i="8"/>
  <c r="B3" i="8"/>
  <c r="G3" i="8"/>
  <c r="H3" i="8"/>
  <c r="I25" i="8"/>
  <c r="C12" i="1"/>
  <c r="D12" i="1"/>
  <c r="F12" i="1"/>
  <c r="F16" i="1"/>
  <c r="G16" i="1"/>
  <c r="H16" i="1"/>
  <c r="M16" i="1" s="1"/>
  <c r="I16" i="1"/>
  <c r="F17" i="1"/>
  <c r="G17" i="1"/>
  <c r="H17" i="1"/>
  <c r="I17" i="1"/>
  <c r="J17" i="1"/>
  <c r="K17" i="1" s="1"/>
  <c r="M17" i="1"/>
  <c r="C9" i="5" s="1"/>
  <c r="P8" i="5" s="1"/>
  <c r="AC7" i="5" s="1"/>
  <c r="F18" i="1"/>
  <c r="G18" i="1"/>
  <c r="I18" i="1" s="1"/>
  <c r="H18" i="1"/>
  <c r="J18" i="1"/>
  <c r="F19" i="1"/>
  <c r="I19" i="1" s="1"/>
  <c r="G19" i="1"/>
  <c r="H19" i="1"/>
  <c r="M19" i="1" s="1"/>
  <c r="C11" i="5" s="1"/>
  <c r="P10" i="5" s="1"/>
  <c r="AC9" i="5" s="1"/>
  <c r="F20" i="1"/>
  <c r="G20" i="1"/>
  <c r="H20" i="1"/>
  <c r="J20" i="1"/>
  <c r="F21" i="1"/>
  <c r="I21" i="1" s="1"/>
  <c r="M21" i="1" s="1"/>
  <c r="C13" i="5" s="1"/>
  <c r="P12" i="5" s="1"/>
  <c r="AC11" i="5" s="1"/>
  <c r="G21" i="1"/>
  <c r="L21" i="1" s="1"/>
  <c r="H21" i="1"/>
  <c r="F22" i="1"/>
  <c r="I22" i="1" s="1"/>
  <c r="G22" i="1"/>
  <c r="H22" i="1"/>
  <c r="M22" i="1" s="1"/>
  <c r="C14" i="5" s="1"/>
  <c r="P13" i="5" s="1"/>
  <c r="AC12" i="5" s="1"/>
  <c r="J22" i="1"/>
  <c r="K22" i="1"/>
  <c r="F23" i="1"/>
  <c r="G23" i="1"/>
  <c r="L23" i="1" s="1"/>
  <c r="H23" i="1"/>
  <c r="I23" i="1"/>
  <c r="J23" i="1"/>
  <c r="K23" i="1" s="1"/>
  <c r="N23" i="1" s="1"/>
  <c r="D15" i="5" s="1"/>
  <c r="M23" i="1"/>
  <c r="C15" i="5" s="1"/>
  <c r="P14" i="5" s="1"/>
  <c r="AC13" i="5" s="1"/>
  <c r="F24" i="1"/>
  <c r="I24" i="1" s="1"/>
  <c r="G24" i="1"/>
  <c r="H24" i="1"/>
  <c r="J24" i="1"/>
  <c r="F25" i="1"/>
  <c r="G25" i="1"/>
  <c r="H25" i="1"/>
  <c r="M25" i="1" s="1"/>
  <c r="C17" i="5" s="1"/>
  <c r="P16" i="5" s="1"/>
  <c r="AC15" i="5" s="1"/>
  <c r="I25" i="1"/>
  <c r="J25" i="1"/>
  <c r="K25" i="1" s="1"/>
  <c r="F26" i="1"/>
  <c r="G26" i="1"/>
  <c r="H26" i="1"/>
  <c r="I26" i="1"/>
  <c r="L26" i="1" s="1"/>
  <c r="J26" i="1"/>
  <c r="F27" i="1"/>
  <c r="G27" i="1"/>
  <c r="I27" i="1" s="1"/>
  <c r="H27" i="1"/>
  <c r="M27" i="1" s="1"/>
  <c r="C19" i="5" s="1"/>
  <c r="P18" i="5" s="1"/>
  <c r="AC17" i="5" s="1"/>
  <c r="F28" i="1"/>
  <c r="I28" i="1" s="1"/>
  <c r="L28" i="1" s="1"/>
  <c r="G28" i="1"/>
  <c r="H28" i="1"/>
  <c r="J28" i="1"/>
  <c r="K28" i="1" s="1"/>
  <c r="M28" i="1"/>
  <c r="C20" i="5" s="1"/>
  <c r="P19" i="5" s="1"/>
  <c r="AC18" i="5" s="1"/>
  <c r="F29" i="1"/>
  <c r="I29" i="1" s="1"/>
  <c r="M29" i="1" s="1"/>
  <c r="C21" i="5" s="1"/>
  <c r="P20" i="5" s="1"/>
  <c r="AC19" i="5" s="1"/>
  <c r="G29" i="1"/>
  <c r="H29" i="1"/>
  <c r="F30" i="1"/>
  <c r="I30" i="1" s="1"/>
  <c r="M30" i="1" s="1"/>
  <c r="C22" i="5" s="1"/>
  <c r="P21" i="5" s="1"/>
  <c r="AC20" i="5" s="1"/>
  <c r="G30" i="1"/>
  <c r="H30" i="1"/>
  <c r="J30" i="1"/>
  <c r="K30" i="1" s="1"/>
  <c r="F31" i="1"/>
  <c r="G31" i="1"/>
  <c r="H31" i="1"/>
  <c r="I31" i="1"/>
  <c r="L31" i="1" s="1"/>
  <c r="C32" i="1"/>
  <c r="D32" i="1"/>
  <c r="E32" i="1"/>
  <c r="N28" i="1" l="1"/>
  <c r="D20" i="5" s="1"/>
  <c r="K24" i="1"/>
  <c r="N24" i="1" s="1"/>
  <c r="D16" i="5" s="1"/>
  <c r="N22" i="1"/>
  <c r="D14" i="5" s="1"/>
  <c r="L29" i="1"/>
  <c r="Q14" i="5"/>
  <c r="L30" i="1"/>
  <c r="N30" i="1" s="1"/>
  <c r="D22" i="5" s="1"/>
  <c r="M26" i="1"/>
  <c r="C18" i="5" s="1"/>
  <c r="L25" i="1"/>
  <c r="N25" i="1" s="1"/>
  <c r="D17" i="5" s="1"/>
  <c r="I20" i="1"/>
  <c r="L20" i="1" s="1"/>
  <c r="L18" i="1"/>
  <c r="L16" i="1"/>
  <c r="M24" i="1"/>
  <c r="C16" i="5" s="1"/>
  <c r="P15" i="5" s="1"/>
  <c r="AC14" i="5" s="1"/>
  <c r="L24" i="1"/>
  <c r="D29" i="50712"/>
  <c r="L27" i="1"/>
  <c r="K18" i="1"/>
  <c r="L22" i="1"/>
  <c r="M18" i="1"/>
  <c r="C10" i="5" s="1"/>
  <c r="P9" i="5" s="1"/>
  <c r="AC8" i="5" s="1"/>
  <c r="L17" i="1"/>
  <c r="N17" i="1" s="1"/>
  <c r="D9" i="5" s="1"/>
  <c r="J21" i="1"/>
  <c r="K21" i="1" s="1"/>
  <c r="N21" i="1" s="1"/>
  <c r="D13" i="5" s="1"/>
  <c r="J29" i="1"/>
  <c r="K29" i="1" s="1"/>
  <c r="N29" i="1" s="1"/>
  <c r="D21" i="5" s="1"/>
  <c r="G12" i="1"/>
  <c r="J19" i="1"/>
  <c r="K19" i="1" s="1"/>
  <c r="J27" i="1"/>
  <c r="K27" i="1" s="1"/>
  <c r="N27" i="1" s="1"/>
  <c r="D19" i="5" s="1"/>
  <c r="K20" i="1"/>
  <c r="K26" i="1"/>
  <c r="N26" i="1" s="1"/>
  <c r="D18" i="5" s="1"/>
  <c r="L19" i="1"/>
  <c r="Q16" i="5" l="1"/>
  <c r="Q8" i="5"/>
  <c r="M9" i="5"/>
  <c r="Q21" i="5"/>
  <c r="Q12" i="5"/>
  <c r="Q19" i="5"/>
  <c r="Q13" i="5"/>
  <c r="Q18" i="5"/>
  <c r="N18" i="1"/>
  <c r="D10" i="5" s="1"/>
  <c r="M20" i="1"/>
  <c r="C12" i="5" s="1"/>
  <c r="P11" i="5" s="1"/>
  <c r="AC10" i="5" s="1"/>
  <c r="Q15" i="5"/>
  <c r="N19" i="1"/>
  <c r="D11" i="5" s="1"/>
  <c r="Q17" i="5"/>
  <c r="M10" i="5"/>
  <c r="N20" i="1"/>
  <c r="D12" i="5" s="1"/>
  <c r="Q20" i="5"/>
  <c r="L10" i="5"/>
  <c r="P17" i="5"/>
  <c r="AC16" i="5" s="1"/>
  <c r="Q9" i="5" l="1"/>
  <c r="Q10" i="5"/>
  <c r="Q11" i="5"/>
  <c r="L9" i="5"/>
  <c r="L11" i="5" s="1"/>
  <c r="L17" i="5" l="1"/>
  <c r="L5" i="1" s="1"/>
  <c r="E15" i="5"/>
  <c r="E20" i="5"/>
  <c r="E16" i="5"/>
  <c r="E18" i="5"/>
  <c r="E13" i="5"/>
  <c r="E17" i="5"/>
  <c r="E19" i="5"/>
  <c r="E22" i="5"/>
  <c r="E21" i="5"/>
  <c r="E14" i="5"/>
  <c r="E9" i="5"/>
  <c r="E10" i="5"/>
  <c r="E12" i="5"/>
  <c r="E11" i="5"/>
  <c r="E25" i="5" l="1"/>
  <c r="E24" i="5"/>
  <c r="L18" i="5" l="1"/>
  <c r="F15" i="5"/>
  <c r="F9" i="5"/>
  <c r="F21" i="5"/>
  <c r="F20" i="5"/>
  <c r="F16" i="5"/>
  <c r="F22" i="5"/>
  <c r="F13" i="5"/>
  <c r="F17" i="5"/>
  <c r="F19" i="5"/>
  <c r="F14" i="5"/>
  <c r="F18" i="5"/>
  <c r="F12" i="5"/>
  <c r="F11" i="5"/>
  <c r="F10" i="5"/>
  <c r="M18" i="5"/>
  <c r="E26" i="5"/>
  <c r="F24" i="5" l="1"/>
  <c r="F25" i="5"/>
  <c r="M4" i="1"/>
  <c r="N18" i="5"/>
  <c r="N4" i="1" s="1"/>
  <c r="G9" i="5"/>
  <c r="G16" i="5"/>
  <c r="G13" i="5"/>
  <c r="R7" i="5"/>
  <c r="G17" i="5"/>
  <c r="G18" i="5"/>
  <c r="G19" i="5"/>
  <c r="G11" i="5"/>
  <c r="G14" i="5"/>
  <c r="G12" i="5"/>
  <c r="L4" i="1"/>
  <c r="G10" i="5"/>
  <c r="G22" i="5"/>
  <c r="G20" i="5"/>
  <c r="G15" i="5"/>
  <c r="G21" i="5"/>
  <c r="M20" i="5"/>
  <c r="L20" i="5"/>
  <c r="R17" i="5" l="1"/>
  <c r="H18" i="5"/>
  <c r="R21" i="5"/>
  <c r="H22" i="5"/>
  <c r="R16" i="5"/>
  <c r="H17" i="5"/>
  <c r="R12" i="5"/>
  <c r="H13" i="5"/>
  <c r="L21" i="5"/>
  <c r="L22" i="5"/>
  <c r="R11" i="5"/>
  <c r="H12" i="5"/>
  <c r="R15" i="5"/>
  <c r="H16" i="5"/>
  <c r="R19" i="5"/>
  <c r="H20" i="5"/>
  <c r="N20" i="5"/>
  <c r="R13" i="5"/>
  <c r="H14" i="5"/>
  <c r="R8" i="5"/>
  <c r="H9" i="5"/>
  <c r="M17" i="5"/>
  <c r="F26" i="5"/>
  <c r="R9" i="5"/>
  <c r="H10" i="5"/>
  <c r="R20" i="5"/>
  <c r="H21" i="5"/>
  <c r="R10" i="5"/>
  <c r="H11" i="5"/>
  <c r="R14" i="5"/>
  <c r="H15" i="5"/>
  <c r="R18" i="5"/>
  <c r="H19" i="5"/>
  <c r="AD18" i="5" l="1"/>
  <c r="I20" i="5"/>
  <c r="AD13" i="5"/>
  <c r="I15" i="5"/>
  <c r="AD14" i="5"/>
  <c r="I16" i="5"/>
  <c r="AD15" i="5"/>
  <c r="I17" i="5"/>
  <c r="E12" i="50712"/>
  <c r="E13" i="50712"/>
  <c r="H13" i="50712" s="1"/>
  <c r="E14" i="50712"/>
  <c r="E15" i="50712"/>
  <c r="E16" i="50712"/>
  <c r="E17" i="50712"/>
  <c r="E18" i="50712"/>
  <c r="E19" i="50712"/>
  <c r="E20" i="50712"/>
  <c r="H20" i="50712" s="1"/>
  <c r="E21" i="50712"/>
  <c r="H21" i="50712" s="1"/>
  <c r="E22" i="50712"/>
  <c r="E23" i="50712"/>
  <c r="E24" i="50712"/>
  <c r="E25" i="50712"/>
  <c r="E26" i="50712"/>
  <c r="E27" i="50712"/>
  <c r="E9" i="50712"/>
  <c r="L23" i="5"/>
  <c r="L7" i="1"/>
  <c r="I11" i="5"/>
  <c r="AD9" i="5"/>
  <c r="F12" i="50712"/>
  <c r="F13" i="50712"/>
  <c r="F14" i="50712"/>
  <c r="F15" i="50712"/>
  <c r="F16" i="50712"/>
  <c r="F17" i="50712"/>
  <c r="F18" i="50712"/>
  <c r="F19" i="50712"/>
  <c r="F20" i="50712"/>
  <c r="F21" i="50712"/>
  <c r="F22" i="50712"/>
  <c r="F23" i="50712"/>
  <c r="F24" i="50712"/>
  <c r="F25" i="50712"/>
  <c r="F26" i="50712"/>
  <c r="F27" i="50712"/>
  <c r="F9" i="50712"/>
  <c r="L8" i="1"/>
  <c r="I10" i="5"/>
  <c r="AD8" i="5"/>
  <c r="AD11" i="5"/>
  <c r="I13" i="5"/>
  <c r="I22" i="5"/>
  <c r="AD20" i="5"/>
  <c r="AD16" i="5"/>
  <c r="I18" i="5"/>
  <c r="AD17" i="5"/>
  <c r="I19" i="5"/>
  <c r="M5" i="1"/>
  <c r="N17" i="5"/>
  <c r="N5" i="1" s="1"/>
  <c r="I9" i="5"/>
  <c r="AD7" i="5"/>
  <c r="AD10" i="5"/>
  <c r="I12" i="5"/>
  <c r="I21" i="5"/>
  <c r="AD19" i="5"/>
  <c r="I14" i="5"/>
  <c r="AD12" i="5"/>
  <c r="L24" i="5" l="1"/>
  <c r="M24" i="5"/>
  <c r="H27" i="50712"/>
  <c r="H19" i="50712"/>
  <c r="H26" i="50712"/>
  <c r="H18" i="50712"/>
  <c r="E29" i="50712"/>
  <c r="H12" i="50712"/>
  <c r="H29" i="50712" s="1"/>
  <c r="F29" i="50712"/>
  <c r="H25" i="50712"/>
  <c r="H17" i="50712"/>
  <c r="H24" i="50712"/>
  <c r="H16" i="50712"/>
  <c r="H23" i="50712"/>
  <c r="H15" i="50712"/>
  <c r="H22" i="50712"/>
  <c r="H14" i="50712"/>
  <c r="L6" i="1" l="1"/>
  <c r="G9" i="50712"/>
  <c r="G18" i="50712"/>
  <c r="I18" i="50712" s="1"/>
  <c r="A16" i="8" s="1"/>
  <c r="C16" i="8" s="1"/>
  <c r="E16" i="8" s="1"/>
  <c r="G12" i="50712"/>
  <c r="G20" i="50712"/>
  <c r="I20" i="50712" s="1"/>
  <c r="A18" i="8" s="1"/>
  <c r="C18" i="8" s="1"/>
  <c r="E18" i="8" s="1"/>
  <c r="G19" i="50712"/>
  <c r="I19" i="50712" s="1"/>
  <c r="A17" i="8" s="1"/>
  <c r="C17" i="8" s="1"/>
  <c r="E17" i="8" s="1"/>
  <c r="G25" i="50712"/>
  <c r="I25" i="50712" s="1"/>
  <c r="A23" i="8" s="1"/>
  <c r="C23" i="8" s="1"/>
  <c r="E23" i="8" s="1"/>
  <c r="G24" i="50712"/>
  <c r="I24" i="50712" s="1"/>
  <c r="A22" i="8" s="1"/>
  <c r="C22" i="8" s="1"/>
  <c r="E22" i="8" s="1"/>
  <c r="G17" i="50712"/>
  <c r="I17" i="50712" s="1"/>
  <c r="A15" i="8" s="1"/>
  <c r="C15" i="8" s="1"/>
  <c r="E15" i="8" s="1"/>
  <c r="G26" i="50712"/>
  <c r="I26" i="50712" s="1"/>
  <c r="A24" i="8" s="1"/>
  <c r="C24" i="8" s="1"/>
  <c r="E24" i="8" s="1"/>
  <c r="G14" i="50712"/>
  <c r="I14" i="50712" s="1"/>
  <c r="A12" i="8" s="1"/>
  <c r="C12" i="8" s="1"/>
  <c r="E12" i="8" s="1"/>
  <c r="G21" i="50712"/>
  <c r="I21" i="50712" s="1"/>
  <c r="A19" i="8" s="1"/>
  <c r="C19" i="8" s="1"/>
  <c r="E19" i="8" s="1"/>
  <c r="G23" i="50712"/>
  <c r="I23" i="50712" s="1"/>
  <c r="A21" i="8" s="1"/>
  <c r="C21" i="8" s="1"/>
  <c r="E21" i="8" s="1"/>
  <c r="G27" i="50712"/>
  <c r="I27" i="50712" s="1"/>
  <c r="A25" i="8" s="1"/>
  <c r="C25" i="8" s="1"/>
  <c r="G16" i="50712"/>
  <c r="I16" i="50712" s="1"/>
  <c r="A14" i="8" s="1"/>
  <c r="C14" i="8" s="1"/>
  <c r="E14" i="8" s="1"/>
  <c r="G13" i="50712"/>
  <c r="I13" i="50712" s="1"/>
  <c r="A11" i="8" s="1"/>
  <c r="C11" i="8" s="1"/>
  <c r="E11" i="8" s="1"/>
  <c r="F12" i="8" s="1"/>
  <c r="G15" i="50712"/>
  <c r="I15" i="50712" s="1"/>
  <c r="A13" i="8" s="1"/>
  <c r="C13" i="8" s="1"/>
  <c r="E13" i="8" s="1"/>
  <c r="G22" i="50712"/>
  <c r="I22" i="50712" s="1"/>
  <c r="A20" i="8" s="1"/>
  <c r="C20" i="8" s="1"/>
  <c r="E20" i="8" s="1"/>
  <c r="N24" i="5"/>
  <c r="N6" i="1" s="1"/>
  <c r="M6" i="1"/>
  <c r="G11" i="8" l="1"/>
  <c r="F13" i="8"/>
  <c r="G29" i="50712"/>
  <c r="I12" i="50712"/>
  <c r="A10" i="8" s="1"/>
  <c r="C10" i="8" s="1"/>
  <c r="F14" i="8" l="1"/>
  <c r="G12" i="8"/>
  <c r="F15" i="8" l="1"/>
  <c r="G14" i="8" s="1"/>
  <c r="G13" i="8"/>
  <c r="F16" i="8" l="1"/>
  <c r="G15" i="8"/>
  <c r="F17" i="8" l="1"/>
  <c r="G16" i="8"/>
  <c r="F18" i="8" l="1"/>
  <c r="G17" i="8" s="1"/>
  <c r="F19" i="8" l="1"/>
  <c r="G18" i="8" s="1"/>
  <c r="F20" i="8" l="1"/>
  <c r="F21" i="8" l="1"/>
  <c r="G20" i="8" s="1"/>
  <c r="G19" i="8"/>
  <c r="F22" i="8" l="1"/>
  <c r="F23" i="8" l="1"/>
  <c r="G22" i="8" s="1"/>
  <c r="G21" i="8"/>
  <c r="F24" i="8" l="1"/>
  <c r="F25" i="8" l="1"/>
  <c r="H25" i="8" s="1"/>
  <c r="G24" i="8"/>
  <c r="G23" i="8"/>
  <c r="H12" i="8" l="1"/>
  <c r="I12" i="8" s="1"/>
  <c r="H20" i="8"/>
  <c r="I20" i="8" s="1"/>
  <c r="H11" i="8"/>
  <c r="I11" i="8" s="1"/>
  <c r="H19" i="8"/>
  <c r="I19" i="8" s="1"/>
  <c r="H14" i="8"/>
  <c r="I14" i="8" s="1"/>
  <c r="H22" i="8"/>
  <c r="I22" i="8" s="1"/>
  <c r="H21" i="8"/>
  <c r="I21" i="8" s="1"/>
  <c r="H23" i="8"/>
  <c r="I23" i="8" s="1"/>
  <c r="H16" i="8"/>
  <c r="I16" i="8" s="1"/>
  <c r="H18" i="8"/>
  <c r="I18" i="8" s="1"/>
  <c r="H13" i="8"/>
  <c r="I13" i="8" s="1"/>
  <c r="H24" i="8"/>
  <c r="I24" i="8" s="1"/>
  <c r="H15" i="8"/>
  <c r="I15" i="8" s="1"/>
  <c r="H17" i="8"/>
  <c r="I17" i="8" s="1"/>
</calcChain>
</file>

<file path=xl/sharedStrings.xml><?xml version="1.0" encoding="utf-8"?>
<sst xmlns="http://schemas.openxmlformats.org/spreadsheetml/2006/main" count="306" uniqueCount="157">
  <si>
    <t>Age</t>
  </si>
  <si>
    <t>Group</t>
  </si>
  <si>
    <t>0-4</t>
  </si>
  <si>
    <t>5- 9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</si>
  <si>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</si>
  <si>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</si>
  <si>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</si>
  <si>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</si>
  <si>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</si>
  <si>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</si>
  <si>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</si>
  <si>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</si>
  <si>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</si>
  <si>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</si>
  <si>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</si>
  <si>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</si>
  <si>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</si>
  <si>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Deaths</t>
  </si>
  <si>
    <t>Rate</t>
  </si>
  <si>
    <t>NA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</si>
  <si>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</si>
  <si>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</si>
  <si>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</si>
  <si>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</si>
  <si>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</si>
  <si>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</si>
  <si>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</si>
  <si>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</si>
  <si>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</si>
  <si>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75+</t>
  </si>
  <si>
    <t>(10)</t>
  </si>
  <si>
    <t>(11)</t>
  </si>
  <si>
    <t>x</t>
  </si>
  <si>
    <t>(12)</t>
  </si>
  <si>
    <t>(14)</t>
  </si>
  <si>
    <t>Intercensal</t>
  </si>
  <si>
    <t>D(x,5)</t>
  </si>
  <si>
    <t>P1(x,5)</t>
  </si>
  <si>
    <t>P2(x,5)</t>
  </si>
  <si>
    <t>N(x)</t>
  </si>
  <si>
    <t>n(x+)</t>
  </si>
  <si>
    <t>n(x+)-r(x+)</t>
  </si>
  <si>
    <t>d(x+)</t>
  </si>
  <si>
    <t>Slopes</t>
  </si>
  <si>
    <t>Intercepts</t>
  </si>
  <si>
    <t>y-bx</t>
  </si>
  <si>
    <t>y-point</t>
  </si>
  <si>
    <t>x-point</t>
  </si>
  <si>
    <t>Years Lived</t>
  </si>
  <si>
    <t>Person</t>
  </si>
  <si>
    <t>Population</t>
  </si>
  <si>
    <t>t=</t>
  </si>
  <si>
    <t>Residuals</t>
  </si>
  <si>
    <t>y-(a+bx)</t>
  </si>
  <si>
    <t>Intercept=ln(k1/k2)/t=</t>
  </si>
  <si>
    <t>Death</t>
  </si>
  <si>
    <t>y-fitted</t>
  </si>
  <si>
    <t>OBS</t>
  </si>
  <si>
    <t>FIT</t>
  </si>
  <si>
    <t>Index</t>
  </si>
  <si>
    <t>a+bx</t>
  </si>
  <si>
    <t>Dev</t>
  </si>
  <si>
    <t>Adjusted</t>
  </si>
  <si>
    <t>Inter-</t>
  </si>
  <si>
    <t>censal</t>
  </si>
  <si>
    <t>5</t>
  </si>
  <si>
    <t>10</t>
  </si>
  <si>
    <t>Input</t>
  </si>
  <si>
    <t>5qx</t>
  </si>
  <si>
    <t>lx/l5</t>
  </si>
  <si>
    <t>5Lx/l5</t>
  </si>
  <si>
    <t>Tx/l5</t>
  </si>
  <si>
    <t>ex</t>
  </si>
  <si>
    <t>20</t>
  </si>
  <si>
    <t>25</t>
  </si>
  <si>
    <t>35</t>
  </si>
  <si>
    <t>40</t>
  </si>
  <si>
    <t>50</t>
  </si>
  <si>
    <t>55</t>
  </si>
  <si>
    <t>60</t>
  </si>
  <si>
    <t>65</t>
  </si>
  <si>
    <t>70</t>
  </si>
  <si>
    <t>75</t>
  </si>
  <si>
    <t>Median</t>
  </si>
  <si>
    <t>e75</t>
  </si>
  <si>
    <t>c=[(k1*k2)^0.5]/Slope=</t>
  </si>
  <si>
    <t>k1=</t>
  </si>
  <si>
    <t>k2=</t>
  </si>
  <si>
    <t>Percent</t>
  </si>
  <si>
    <t>Country</t>
  </si>
  <si>
    <t>Sex</t>
  </si>
  <si>
    <t>Census</t>
  </si>
  <si>
    <t>Census 1</t>
  </si>
  <si>
    <t>Census 2</t>
  </si>
  <si>
    <t>r(x+)</t>
  </si>
  <si>
    <t>y</t>
  </si>
  <si>
    <t>res</t>
  </si>
  <si>
    <t>age</t>
  </si>
  <si>
    <t>(Factor)</t>
  </si>
  <si>
    <t>Total</t>
  </si>
  <si>
    <t>######</t>
  </si>
  <si>
    <t>Results</t>
  </si>
  <si>
    <t>Color Key</t>
  </si>
  <si>
    <t>Years</t>
  </si>
  <si>
    <t>Lived</t>
  </si>
  <si>
    <t>(15)</t>
  </si>
  <si>
    <t>(screen and color printouts only)</t>
  </si>
  <si>
    <t>0.5*IQ Range</t>
  </si>
  <si>
    <t>Estimate of death registration completeness (c)</t>
  </si>
  <si>
    <t>Slope of fitted line</t>
  </si>
  <si>
    <t>Intercept of fitted line</t>
  </si>
  <si>
    <t>Estimated relative completeness of first census (k1)</t>
  </si>
  <si>
    <t>Estimated relative completeness of second census (k2)</t>
  </si>
  <si>
    <t>Lower 3rd</t>
  </si>
  <si>
    <t>Upper 3rd</t>
  </si>
  <si>
    <t>Estimate</t>
  </si>
  <si>
    <t>Calculation of Slope</t>
  </si>
  <si>
    <t>of Points</t>
  </si>
  <si>
    <t>Calculation of Adjustment Factors</t>
  </si>
  <si>
    <t>Slope</t>
  </si>
  <si>
    <t>Slope (b)=[(k1*k2)^0.5]/c=</t>
  </si>
  <si>
    <t>Factor</t>
  </si>
  <si>
    <t>Formula</t>
  </si>
  <si>
    <t>and Error Indicators</t>
  </si>
  <si>
    <t>Error</t>
  </si>
  <si>
    <t>Indicator</t>
  </si>
  <si>
    <t>Linked</t>
  </si>
  <si>
    <t>Persons</t>
  </si>
  <si>
    <t>D(x+)</t>
  </si>
  <si>
    <t>P!(x+)</t>
  </si>
  <si>
    <t>P2(x+)</t>
  </si>
  <si>
    <t>PYL(x+)</t>
  </si>
  <si>
    <t>Reaching</t>
  </si>
  <si>
    <t>Age x</t>
  </si>
  <si>
    <t>k1/k2=exp(t*Intercept)=</t>
  </si>
  <si>
    <t>Page 2</t>
  </si>
  <si>
    <t>k1</t>
  </si>
  <si>
    <t>k1/k2&gt;1</t>
  </si>
  <si>
    <t>k1/k2=1</t>
  </si>
  <si>
    <t>k1/k2&lt;1</t>
  </si>
  <si>
    <t>k1&gt;k2</t>
  </si>
  <si>
    <t>1/(k1/k2)</t>
  </si>
  <si>
    <t>k1=k2</t>
  </si>
  <si>
    <t>k1&lt;k2</t>
  </si>
  <si>
    <t>IF</t>
  </si>
  <si>
    <t>k1 =</t>
  </si>
  <si>
    <t>k2 =</t>
  </si>
  <si>
    <t>THEN</t>
  </si>
  <si>
    <t>k1*k2=</t>
  </si>
  <si>
    <t>Over Age x</t>
  </si>
  <si>
    <t>Entry Rate:</t>
  </si>
  <si>
    <t>Growth Rate:</t>
  </si>
  <si>
    <t>Male</t>
  </si>
  <si>
    <t>Calculation of Plotting Points</t>
  </si>
  <si>
    <t>Fitting Straight Line</t>
  </si>
  <si>
    <t>Adjusting Population and Deaths</t>
  </si>
  <si>
    <t>Life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</si>
</sst>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000"/>
    <numFmt numFmtId="165" formatCode="0.00000"/>
    <numFmt numFmtId="166" formatCode="0.000"/>
    <numFmt numFmtId="167" formatCode="0.0"/>
    <numFmt numFmtId="168" formatCode="0.000000"/>
    <numFmt numFmtId="169" formatCode="#,##0.0"/>
    <numFmt numFmtId="170" formatCode="#,##0.000"/>
    <numFmt numFmtId="171" formatCode="#,##0.0000"/>
    <numFmt numFmtId="172" formatCode="#,##0.00000"/>
    <numFmt numFmtId="173" formatCode="0_);\(0\)"/>
  </numFmts>
  <fonts count="16" x14ac:knownFonts="1">
    <font>
      <sz val="10"/>
      <name val="Arial"/>
    </font>
    <font>
      <i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2"/>
      <name val="Courier"/>
      <family val="3"/>
    </font>
    <font>
      <b/>
      <sz val="10"/>
      <name val="Arial"/>
      <family val="2"/>
    </font>
    <font>
      <sz val="10"/>
      <color indexed="14"/>
      <name val="Arial"/>
      <family val="2"/>
    </font>
    <font>
      <b/>
      <sz val="9"/>
      <name val="Arial"/>
      <family val="2"/>
    </font>
    <font>
      <sz val="9"/>
      <name val="Arial"/>
    </font>
    <font>
      <sz val="9"/>
      <color indexed="12"/>
      <name val="Courier"/>
      <family val="3"/>
    </font>
    <font>
      <sz val="9"/>
      <color indexed="12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i/>
      <sz val="9"/>
      <name val="Arial"/>
      <family val="2"/>
    </font>
    <font>
      <sz val="9"/>
      <color indexed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1" fillId="0" borderId="0" xfId="0" applyFont="1" applyAlignment="1">
      <alignment horizontal="right"/>
    </xf>
    <xf numFmtId="164" fontId="0" fillId="0" borderId="0" xfId="0" applyNumberFormat="1"/>
    <xf numFmtId="49" fontId="2" fillId="0" borderId="0" xfId="0" applyNumberFormat="1" applyFont="1" applyAlignment="1">
      <alignment horizontal="right"/>
    </xf>
    <xf numFmtId="167" fontId="0" fillId="0" borderId="0" xfId="0" applyNumberFormat="1"/>
    <xf numFmtId="164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1" fontId="0" fillId="0" borderId="0" xfId="0" applyNumberFormat="1"/>
    <xf numFmtId="0" fontId="6" fillId="0" borderId="0" xfId="0" applyFont="1"/>
    <xf numFmtId="0" fontId="2" fillId="0" borderId="0" xfId="0" applyFont="1"/>
    <xf numFmtId="0" fontId="2" fillId="0" borderId="0" xfId="0" applyFont="1" applyProtection="1"/>
    <xf numFmtId="49" fontId="2" fillId="0" borderId="0" xfId="0" applyNumberFormat="1" applyFont="1" applyAlignment="1" applyProtection="1">
      <alignment horizontal="right"/>
    </xf>
    <xf numFmtId="167" fontId="4" fillId="0" borderId="0" xfId="0" applyNumberFormat="1" applyFont="1"/>
    <xf numFmtId="0" fontId="0" fillId="2" borderId="0" xfId="0" applyFill="1"/>
    <xf numFmtId="0" fontId="3" fillId="2" borderId="0" xfId="0" applyFont="1" applyFill="1"/>
    <xf numFmtId="0" fontId="0" fillId="2" borderId="0" xfId="0" applyFill="1" applyAlignment="1">
      <alignment horizontal="left"/>
    </xf>
    <xf numFmtId="0" fontId="6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3" fillId="0" borderId="0" xfId="0" applyFont="1" applyProtection="1"/>
    <xf numFmtId="0" fontId="2" fillId="0" borderId="0" xfId="0" applyFont="1" applyAlignment="1" applyProtection="1">
      <alignment horizontal="right"/>
    </xf>
    <xf numFmtId="166" fontId="2" fillId="0" borderId="0" xfId="0" applyNumberFormat="1" applyFont="1" applyAlignment="1" applyProtection="1">
      <alignment horizontal="right"/>
    </xf>
    <xf numFmtId="0" fontId="0" fillId="2" borderId="0" xfId="0" applyFill="1" applyProtection="1"/>
    <xf numFmtId="0" fontId="0" fillId="2" borderId="0" xfId="0" applyFill="1" applyAlignment="1" applyProtection="1">
      <alignment horizontal="right"/>
    </xf>
    <xf numFmtId="49" fontId="0" fillId="0" borderId="0" xfId="0" applyNumberFormat="1" applyAlignment="1" applyProtection="1">
      <alignment horizontal="right"/>
    </xf>
    <xf numFmtId="3" fontId="0" fillId="0" borderId="0" xfId="0" applyNumberFormat="1" applyProtection="1"/>
    <xf numFmtId="3" fontId="0" fillId="0" borderId="0" xfId="0" applyNumberFormat="1" applyAlignment="1" applyProtection="1">
      <alignment horizontal="right"/>
    </xf>
    <xf numFmtId="3" fontId="2" fillId="0" borderId="0" xfId="0" applyNumberFormat="1" applyFont="1" applyProtection="1"/>
    <xf numFmtId="165" fontId="0" fillId="0" borderId="0" xfId="0" applyNumberFormat="1" applyProtection="1"/>
    <xf numFmtId="168" fontId="4" fillId="0" borderId="0" xfId="0" applyNumberFormat="1" applyFont="1" applyProtection="1"/>
    <xf numFmtId="3" fontId="7" fillId="0" borderId="0" xfId="0" applyNumberFormat="1" applyFont="1" applyProtection="1"/>
    <xf numFmtId="0" fontId="7" fillId="0" borderId="0" xfId="0" applyFont="1" applyProtection="1"/>
    <xf numFmtId="15" fontId="7" fillId="0" borderId="0" xfId="0" applyNumberFormat="1" applyFont="1" applyAlignment="1" applyProtection="1">
      <alignment horizontal="right"/>
    </xf>
    <xf numFmtId="166" fontId="7" fillId="0" borderId="0" xfId="0" applyNumberFormat="1" applyFont="1" applyAlignment="1" applyProtection="1">
      <alignment horizontal="right"/>
    </xf>
    <xf numFmtId="166" fontId="7" fillId="0" borderId="0" xfId="0" applyNumberFormat="1" applyFont="1"/>
    <xf numFmtId="15" fontId="7" fillId="0" borderId="0" xfId="0" applyNumberFormat="1" applyFont="1"/>
    <xf numFmtId="0" fontId="7" fillId="0" borderId="0" xfId="0" applyFont="1"/>
    <xf numFmtId="0" fontId="3" fillId="0" borderId="0" xfId="0" applyFont="1" applyAlignment="1">
      <alignment horizontal="right"/>
    </xf>
    <xf numFmtId="168" fontId="3" fillId="0" borderId="0" xfId="0" applyNumberFormat="1" applyFont="1" applyProtection="1">
      <protection locked="0"/>
    </xf>
    <xf numFmtId="168" fontId="7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right"/>
    </xf>
    <xf numFmtId="168" fontId="0" fillId="0" borderId="0" xfId="0" applyNumberFormat="1"/>
    <xf numFmtId="0" fontId="0" fillId="2" borderId="0" xfId="0" applyFill="1" applyAlignment="1">
      <alignment horizontal="right"/>
    </xf>
    <xf numFmtId="167" fontId="0" fillId="2" borderId="0" xfId="0" applyNumberFormat="1" applyFill="1"/>
    <xf numFmtId="2" fontId="7" fillId="0" borderId="0" xfId="0" applyNumberFormat="1" applyFont="1" applyAlignment="1">
      <alignment horizontal="right"/>
    </xf>
    <xf numFmtId="166" fontId="7" fillId="0" borderId="0" xfId="0" applyNumberFormat="1" applyFont="1" applyProtection="1"/>
    <xf numFmtId="3" fontId="4" fillId="0" borderId="0" xfId="0" applyNumberFormat="1" applyFont="1" applyProtection="1"/>
    <xf numFmtId="164" fontId="7" fillId="0" borderId="0" xfId="0" applyNumberFormat="1" applyFont="1" applyProtection="1"/>
    <xf numFmtId="0" fontId="8" fillId="0" borderId="0" xfId="0" applyFont="1" applyProtection="1"/>
    <xf numFmtId="0" fontId="9" fillId="0" borderId="0" xfId="0" applyFont="1" applyProtection="1"/>
    <xf numFmtId="0" fontId="9" fillId="0" borderId="0" xfId="0" applyFont="1" applyAlignment="1" applyProtection="1">
      <alignment horizontal="right"/>
    </xf>
    <xf numFmtId="0" fontId="10" fillId="0" borderId="0" xfId="0" applyFont="1" applyAlignment="1" applyProtection="1">
      <alignment horizontal="right"/>
    </xf>
    <xf numFmtId="0" fontId="11" fillId="0" borderId="0" xfId="0" applyFont="1" applyProtection="1"/>
    <xf numFmtId="0" fontId="12" fillId="0" borderId="0" xfId="0" applyFont="1" applyProtection="1"/>
    <xf numFmtId="15" fontId="11" fillId="0" borderId="0" xfId="0" applyNumberFormat="1" applyFont="1" applyAlignment="1" applyProtection="1">
      <alignment horizontal="right"/>
    </xf>
    <xf numFmtId="166" fontId="11" fillId="0" borderId="0" xfId="0" applyNumberFormat="1" applyFont="1" applyAlignment="1" applyProtection="1">
      <alignment horizontal="right"/>
    </xf>
    <xf numFmtId="3" fontId="9" fillId="0" borderId="0" xfId="0" applyNumberFormat="1" applyFont="1" applyAlignment="1" applyProtection="1">
      <alignment horizontal="right"/>
    </xf>
    <xf numFmtId="172" fontId="13" fillId="0" borderId="0" xfId="0" applyNumberFormat="1" applyFont="1" applyAlignment="1" applyProtection="1">
      <alignment horizontal="right"/>
    </xf>
    <xf numFmtId="169" fontId="13" fillId="0" borderId="0" xfId="0" applyNumberFormat="1" applyFont="1" applyAlignment="1" applyProtection="1">
      <alignment horizontal="right"/>
    </xf>
    <xf numFmtId="170" fontId="13" fillId="0" borderId="0" xfId="0" applyNumberFormat="1" applyFont="1" applyAlignment="1" applyProtection="1">
      <alignment horizontal="right"/>
    </xf>
    <xf numFmtId="2" fontId="11" fillId="0" borderId="0" xfId="0" applyNumberFormat="1" applyFont="1" applyAlignment="1" applyProtection="1">
      <alignment horizontal="left"/>
      <protection locked="0"/>
    </xf>
    <xf numFmtId="171" fontId="13" fillId="0" borderId="0" xfId="0" applyNumberFormat="1" applyFont="1" applyAlignment="1" applyProtection="1">
      <alignment horizontal="right"/>
    </xf>
    <xf numFmtId="0" fontId="9" fillId="2" borderId="0" xfId="0" applyFont="1" applyFill="1" applyProtection="1"/>
    <xf numFmtId="0" fontId="9" fillId="2" borderId="0" xfId="0" applyFont="1" applyFill="1" applyAlignment="1" applyProtection="1">
      <alignment horizontal="right"/>
    </xf>
    <xf numFmtId="0" fontId="11" fillId="2" borderId="0" xfId="0" applyFont="1" applyFill="1" applyProtection="1"/>
    <xf numFmtId="0" fontId="10" fillId="2" borderId="0" xfId="0" applyFont="1" applyFill="1" applyAlignment="1" applyProtection="1">
      <alignment horizontal="right"/>
    </xf>
    <xf numFmtId="0" fontId="9" fillId="0" borderId="0" xfId="0" applyFont="1" applyAlignment="1" applyProtection="1"/>
    <xf numFmtId="0" fontId="12" fillId="0" borderId="0" xfId="0" applyFont="1" applyAlignment="1" applyProtection="1">
      <alignment horizontal="right"/>
    </xf>
    <xf numFmtId="166" fontId="12" fillId="0" borderId="0" xfId="0" applyNumberFormat="1" applyFont="1" applyAlignment="1" applyProtection="1">
      <alignment horizontal="right"/>
    </xf>
    <xf numFmtId="166" fontId="9" fillId="0" borderId="0" xfId="0" applyNumberFormat="1" applyFont="1" applyAlignment="1" applyProtection="1">
      <alignment horizontal="right"/>
    </xf>
    <xf numFmtId="0" fontId="14" fillId="0" borderId="0" xfId="0" applyFont="1" applyAlignment="1" applyProtection="1">
      <alignment horizontal="right"/>
    </xf>
    <xf numFmtId="49" fontId="14" fillId="0" borderId="0" xfId="0" applyNumberFormat="1" applyFont="1" applyAlignment="1" applyProtection="1">
      <alignment horizontal="right"/>
    </xf>
    <xf numFmtId="49" fontId="12" fillId="0" borderId="0" xfId="0" applyNumberFormat="1" applyFont="1" applyAlignment="1" applyProtection="1">
      <alignment horizontal="right"/>
    </xf>
    <xf numFmtId="49" fontId="9" fillId="0" borderId="0" xfId="0" applyNumberFormat="1" applyFont="1" applyAlignment="1" applyProtection="1">
      <alignment horizontal="right"/>
    </xf>
    <xf numFmtId="3" fontId="11" fillId="0" borderId="0" xfId="0" applyNumberFormat="1" applyFont="1" applyProtection="1"/>
    <xf numFmtId="3" fontId="9" fillId="0" borderId="0" xfId="0" applyNumberFormat="1" applyFont="1" applyProtection="1"/>
    <xf numFmtId="165" fontId="9" fillId="0" borderId="0" xfId="0" applyNumberFormat="1" applyFont="1" applyProtection="1"/>
    <xf numFmtId="172" fontId="9" fillId="0" borderId="0" xfId="0" applyNumberFormat="1" applyFont="1" applyProtection="1"/>
    <xf numFmtId="168" fontId="9" fillId="0" borderId="0" xfId="0" applyNumberFormat="1" applyFont="1" applyProtection="1"/>
    <xf numFmtId="3" fontId="12" fillId="0" borderId="0" xfId="0" applyNumberFormat="1" applyFont="1" applyProtection="1"/>
    <xf numFmtId="170" fontId="9" fillId="0" borderId="0" xfId="0" applyNumberFormat="1" applyFont="1" applyProtection="1"/>
    <xf numFmtId="0" fontId="8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right"/>
    </xf>
    <xf numFmtId="0" fontId="13" fillId="0" borderId="0" xfId="0" applyFont="1" applyAlignment="1" applyProtection="1">
      <alignment horizontal="right"/>
    </xf>
    <xf numFmtId="0" fontId="15" fillId="0" borderId="0" xfId="0" applyFont="1" applyAlignment="1" applyProtection="1">
      <alignment horizontal="right"/>
    </xf>
    <xf numFmtId="166" fontId="9" fillId="0" borderId="0" xfId="0" applyNumberFormat="1" applyFont="1" applyProtection="1"/>
    <xf numFmtId="0" fontId="15" fillId="0" borderId="0" xfId="0" applyFont="1" applyProtection="1"/>
    <xf numFmtId="15" fontId="15" fillId="0" borderId="0" xfId="0" applyNumberFormat="1" applyFont="1" applyAlignment="1" applyProtection="1">
      <alignment horizontal="right"/>
    </xf>
    <xf numFmtId="166" fontId="15" fillId="0" borderId="0" xfId="0" applyNumberFormat="1" applyFont="1" applyAlignment="1" applyProtection="1">
      <alignment horizontal="right"/>
    </xf>
    <xf numFmtId="15" fontId="15" fillId="0" borderId="0" xfId="0" applyNumberFormat="1" applyFont="1" applyProtection="1"/>
    <xf numFmtId="166" fontId="15" fillId="0" borderId="0" xfId="0" applyNumberFormat="1" applyFont="1" applyProtection="1"/>
    <xf numFmtId="173" fontId="12" fillId="0" borderId="0" xfId="0" applyNumberFormat="1" applyFont="1" applyAlignment="1" applyProtection="1">
      <alignment horizontal="right"/>
    </xf>
    <xf numFmtId="172" fontId="9" fillId="0" borderId="0" xfId="0" applyNumberFormat="1" applyFont="1" applyAlignment="1" applyProtection="1">
      <alignment horizontal="right"/>
    </xf>
    <xf numFmtId="172" fontId="15" fillId="0" borderId="0" xfId="0" applyNumberFormat="1" applyFont="1" applyAlignment="1" applyProtection="1">
      <alignment horizontal="right"/>
    </xf>
    <xf numFmtId="172" fontId="15" fillId="0" borderId="0" xfId="0" applyNumberFormat="1" applyFont="1" applyProtection="1"/>
    <xf numFmtId="167" fontId="9" fillId="0" borderId="0" xfId="0" applyNumberFormat="1" applyFont="1" applyProtection="1"/>
    <xf numFmtId="172" fontId="13" fillId="0" borderId="0" xfId="0" applyNumberFormat="1" applyFont="1" applyProtection="1"/>
    <xf numFmtId="170" fontId="13" fillId="0" borderId="0" xfId="0" applyNumberFormat="1" applyFont="1" applyProtection="1"/>
    <xf numFmtId="166" fontId="13" fillId="0" borderId="0" xfId="0" applyNumberFormat="1" applyFont="1" applyAlignment="1" applyProtection="1">
      <alignment horizontal="right"/>
    </xf>
    <xf numFmtId="167" fontId="13" fillId="0" borderId="0" xfId="0" applyNumberFormat="1" applyFont="1" applyAlignment="1" applyProtection="1">
      <alignment horizontal="right"/>
    </xf>
    <xf numFmtId="165" fontId="13" fillId="0" borderId="0" xfId="0" applyNumberFormat="1" applyFont="1" applyAlignment="1" applyProtection="1">
      <alignment horizontal="right"/>
    </xf>
    <xf numFmtId="164" fontId="13" fillId="0" borderId="0" xfId="0" applyNumberFormat="1" applyFont="1" applyAlignment="1" applyProtection="1">
      <alignment horizontal="right"/>
    </xf>
    <xf numFmtId="165" fontId="13" fillId="0" borderId="0" xfId="0" applyNumberFormat="1" applyFont="1" applyProtection="1"/>
    <xf numFmtId="166" fontId="13" fillId="0" borderId="0" xfId="0" applyNumberFormat="1" applyFont="1" applyProtection="1"/>
    <xf numFmtId="167" fontId="13" fillId="0" borderId="0" xfId="0" applyNumberFormat="1" applyFont="1" applyProtection="1"/>
    <xf numFmtId="0" fontId="9" fillId="0" borderId="0" xfId="0" applyFont="1" applyAlignment="1" applyProtection="1">
      <alignment horizontal="center"/>
    </xf>
    <xf numFmtId="164" fontId="13" fillId="0" borderId="0" xfId="0" applyNumberFormat="1" applyFont="1" applyAlignment="1" applyProtection="1">
      <alignment horizontal="left"/>
    </xf>
    <xf numFmtId="49" fontId="9" fillId="0" borderId="0" xfId="0" applyNumberFormat="1" applyFont="1" applyAlignment="1" applyProtection="1">
      <alignment horizontal="left"/>
    </xf>
    <xf numFmtId="164" fontId="9" fillId="0" borderId="0" xfId="0" applyNumberFormat="1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792557500345405"/>
          <c:y val="8.4579847559518209E-2"/>
          <c:w val="0.55203137657264623"/>
          <c:h val="0.669175852750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'Fitting Straight Line'!$Q$6</c:f>
              <c:strCache>
                <c:ptCount val="1"/>
                <c:pt idx="0">
                  <c:v>OBS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'Fitting Straight Line'!$P$8:$P$21</c:f>
              <c:numCache>
                <c:formatCode>#,##0.00000</c:formatCode>
                <c:ptCount val="14"/>
                <c:pt idx="0">
                  <c:v>3.6633183598411448E-3</c:v>
                </c:pt>
                <c:pt idx="1">
                  <c:v>4.4569654212520829E-3</c:v>
                </c:pt>
                <c:pt idx="2">
                  <c:v>5.5663163340484451E-3</c:v>
                </c:pt>
                <c:pt idx="3">
                  <c:v>6.8992570959694934E-3</c:v>
                </c:pt>
                <c:pt idx="4">
                  <c:v>8.2943789328530412E-3</c:v>
                </c:pt>
                <c:pt idx="5">
                  <c:v>9.685971784589539E-3</c:v>
                </c:pt>
                <c:pt idx="6">
                  <c:v>1.1102421477409093E-2</c:v>
                </c:pt>
                <c:pt idx="7">
                  <c:v>1.2776041091297491E-2</c:v>
                </c:pt>
                <c:pt idx="8">
                  <c:v>1.489206946720687E-2</c:v>
                </c:pt>
                <c:pt idx="9">
                  <c:v>1.7470320097587613E-2</c:v>
                </c:pt>
                <c:pt idx="10">
                  <c:v>2.0720759843940093E-2</c:v>
                </c:pt>
                <c:pt idx="11">
                  <c:v>2.3582515062904735E-2</c:v>
                </c:pt>
                <c:pt idx="12">
                  <c:v>2.7572869767266844E-2</c:v>
                </c:pt>
                <c:pt idx="13">
                  <c:v>2.9097661271683523E-2</c:v>
                </c:pt>
              </c:numCache>
            </c:numRef>
          </c:xVal>
          <c:yVal>
            <c:numRef>
              <c:f>'Fitting Straight Line'!$Q$8:$Q$21</c:f>
              <c:numCache>
                <c:formatCode>#,##0.00000</c:formatCode>
                <c:ptCount val="14"/>
                <c:pt idx="0">
                  <c:v>5.3933500239938537E-3</c:v>
                </c:pt>
                <c:pt idx="1">
                  <c:v>9.7833933976017515E-3</c:v>
                </c:pt>
                <c:pt idx="2">
                  <c:v>1.2682924196488553E-2</c:v>
                </c:pt>
                <c:pt idx="3">
                  <c:v>1.266095143163519E-2</c:v>
                </c:pt>
                <c:pt idx="4">
                  <c:v>1.2266383120352331E-2</c:v>
                </c:pt>
                <c:pt idx="5">
                  <c:v>1.4532394642924579E-2</c:v>
                </c:pt>
                <c:pt idx="6">
                  <c:v>1.6580221186880108E-2</c:v>
                </c:pt>
                <c:pt idx="7">
                  <c:v>1.9540025185764823E-2</c:v>
                </c:pt>
                <c:pt idx="8">
                  <c:v>2.4897750118817983E-2</c:v>
                </c:pt>
                <c:pt idx="9">
                  <c:v>3.0422971897464422E-2</c:v>
                </c:pt>
                <c:pt idx="10">
                  <c:v>3.559711643763834E-2</c:v>
                </c:pt>
                <c:pt idx="11">
                  <c:v>4.0420829333989237E-2</c:v>
                </c:pt>
                <c:pt idx="12">
                  <c:v>5.4393025731820324E-2</c:v>
                </c:pt>
                <c:pt idx="13">
                  <c:v>6.1733956344614323E-2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1A-454D-88FE-B4EC3F088A93}"/>
            </c:ext>
          </c:extLst>
        </c:ser>
        <c:ser>
          <c:idx val="1"/>
          <c:order val="1"/>
          <c:tx>
            <c:strRef>
              <c:f>'Fitting Straight Line'!$R$6</c:f>
              <c:strCache>
                <c:ptCount val="1"/>
                <c:pt idx="0">
                  <c:v>FIT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'Fitting Straight Line'!$P$7:$P$21</c:f>
              <c:numCache>
                <c:formatCode>#,##0.00000</c:formatCode>
                <c:ptCount val="15"/>
                <c:pt idx="0" formatCode="0.00000">
                  <c:v>0</c:v>
                </c:pt>
                <c:pt idx="1">
                  <c:v>3.6633183598411448E-3</c:v>
                </c:pt>
                <c:pt idx="2">
                  <c:v>4.4569654212520829E-3</c:v>
                </c:pt>
                <c:pt idx="3">
                  <c:v>5.5663163340484451E-3</c:v>
                </c:pt>
                <c:pt idx="4">
                  <c:v>6.8992570959694934E-3</c:v>
                </c:pt>
                <c:pt idx="5">
                  <c:v>8.2943789328530412E-3</c:v>
                </c:pt>
                <c:pt idx="6">
                  <c:v>9.685971784589539E-3</c:v>
                </c:pt>
                <c:pt idx="7">
                  <c:v>1.1102421477409093E-2</c:v>
                </c:pt>
                <c:pt idx="8">
                  <c:v>1.2776041091297491E-2</c:v>
                </c:pt>
                <c:pt idx="9">
                  <c:v>1.489206946720687E-2</c:v>
                </c:pt>
                <c:pt idx="10">
                  <c:v>1.7470320097587613E-2</c:v>
                </c:pt>
                <c:pt idx="11">
                  <c:v>2.0720759843940093E-2</c:v>
                </c:pt>
                <c:pt idx="12">
                  <c:v>2.3582515062904735E-2</c:v>
                </c:pt>
                <c:pt idx="13">
                  <c:v>2.7572869767266844E-2</c:v>
                </c:pt>
                <c:pt idx="14">
                  <c:v>2.9097661271683523E-2</c:v>
                </c:pt>
              </c:numCache>
            </c:numRef>
          </c:xVal>
          <c:yVal>
            <c:numRef>
              <c:f>'Fitting Straight Line'!$R$7:$R$21</c:f>
              <c:numCache>
                <c:formatCode>#,##0.00000</c:formatCode>
                <c:ptCount val="15"/>
                <c:pt idx="0" formatCode="0.00000">
                  <c:v>2.3500000000000001E-3</c:v>
                </c:pt>
                <c:pt idx="1">
                  <c:v>8.0757665964317094E-3</c:v>
                </c:pt>
                <c:pt idx="2">
                  <c:v>9.3162369534170054E-3</c:v>
                </c:pt>
                <c:pt idx="3">
                  <c:v>1.105015243011772E-2</c:v>
                </c:pt>
                <c:pt idx="4">
                  <c:v>1.3133538841000318E-2</c:v>
                </c:pt>
                <c:pt idx="5">
                  <c:v>1.5314114272049302E-2</c:v>
                </c:pt>
                <c:pt idx="6">
                  <c:v>1.748917389931345E-2</c:v>
                </c:pt>
                <c:pt idx="7">
                  <c:v>1.9703084769190412E-2</c:v>
                </c:pt>
                <c:pt idx="8">
                  <c:v>2.2318952225697977E-2</c:v>
                </c:pt>
                <c:pt idx="9">
                  <c:v>2.5626304577244338E-2</c:v>
                </c:pt>
                <c:pt idx="10">
                  <c:v>2.9656110312529439E-2</c:v>
                </c:pt>
                <c:pt idx="11">
                  <c:v>3.4736547636078363E-2</c:v>
                </c:pt>
                <c:pt idx="12">
                  <c:v>3.92094710433201E-2</c:v>
                </c:pt>
                <c:pt idx="13">
                  <c:v>4.5446395446238075E-2</c:v>
                </c:pt>
                <c:pt idx="14">
                  <c:v>4.7829644567641341E-2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1A-454D-88FE-B4EC3F088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626799"/>
        <c:axId val="1"/>
      </c:scatterChart>
      <c:valAx>
        <c:axId val="526626799"/>
        <c:scaling>
          <c:orientation val="minMax"/>
          <c:max val="0.06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d(x+)</a:t>
                </a:r>
              </a:p>
            </c:rich>
          </c:tx>
          <c:layout>
            <c:manualLayout>
              <c:xMode val="edge"/>
              <c:yMode val="edge"/>
              <c:x val="0.41779882299875043"/>
              <c:y val="0.865699616197421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-0.02"/>
        <c:crossBetween val="midCat"/>
        <c:majorUnit val="0.02"/>
      </c:valAx>
      <c:valAx>
        <c:axId val="1"/>
        <c:scaling>
          <c:orientation val="minMax"/>
          <c:max val="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n(x+) - r(x+)</a:t>
                </a:r>
              </a:p>
            </c:rich>
          </c:tx>
          <c:layout>
            <c:manualLayout>
              <c:xMode val="edge"/>
              <c:yMode val="edge"/>
              <c:x val="3.1880231473800244E-2"/>
              <c:y val="0.271153040705514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6626799"/>
        <c:crosses val="autoZero"/>
        <c:crossBetween val="midCat"/>
        <c:majorUnit val="0.0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868369376467963"/>
          <c:y val="0.34826996053919274"/>
          <c:w val="0.18456976116410664"/>
          <c:h val="0.1417956267909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174712936688292"/>
          <c:y val="8.1888550454050996E-2"/>
          <c:w val="0.71281211866079397"/>
          <c:h val="0.69977488569825408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'Fitting Straight Line'!$AC$7:$AC$20</c:f>
              <c:numCache>
                <c:formatCode>#,##0.00000</c:formatCode>
                <c:ptCount val="14"/>
                <c:pt idx="0">
                  <c:v>3.6633183598411448E-3</c:v>
                </c:pt>
                <c:pt idx="1">
                  <c:v>4.4569654212520829E-3</c:v>
                </c:pt>
                <c:pt idx="2">
                  <c:v>5.5663163340484451E-3</c:v>
                </c:pt>
                <c:pt idx="3">
                  <c:v>6.8992570959694934E-3</c:v>
                </c:pt>
                <c:pt idx="4">
                  <c:v>8.2943789328530412E-3</c:v>
                </c:pt>
                <c:pt idx="5">
                  <c:v>9.685971784589539E-3</c:v>
                </c:pt>
                <c:pt idx="6">
                  <c:v>1.1102421477409093E-2</c:v>
                </c:pt>
                <c:pt idx="7">
                  <c:v>1.2776041091297491E-2</c:v>
                </c:pt>
                <c:pt idx="8">
                  <c:v>1.489206946720687E-2</c:v>
                </c:pt>
                <c:pt idx="9">
                  <c:v>1.7470320097587613E-2</c:v>
                </c:pt>
                <c:pt idx="10">
                  <c:v>2.0720759843940093E-2</c:v>
                </c:pt>
                <c:pt idx="11">
                  <c:v>2.3582515062904735E-2</c:v>
                </c:pt>
                <c:pt idx="12">
                  <c:v>2.7572869767266844E-2</c:v>
                </c:pt>
                <c:pt idx="13">
                  <c:v>2.9097661271683523E-2</c:v>
                </c:pt>
              </c:numCache>
            </c:numRef>
          </c:xVal>
          <c:yVal>
            <c:numRef>
              <c:f>'Fitting Straight Line'!$AD$7:$AD$20</c:f>
              <c:numCache>
                <c:formatCode>#,##0.00000</c:formatCode>
                <c:ptCount val="14"/>
                <c:pt idx="0">
                  <c:v>-2.6824165724378558E-3</c:v>
                </c:pt>
                <c:pt idx="1">
                  <c:v>4.671564441847461E-4</c:v>
                </c:pt>
                <c:pt idx="2">
                  <c:v>1.632771766370833E-3</c:v>
                </c:pt>
                <c:pt idx="3">
                  <c:v>-4.7258740936512861E-4</c:v>
                </c:pt>
                <c:pt idx="4">
                  <c:v>-3.0477311516969707E-3</c:v>
                </c:pt>
                <c:pt idx="5">
                  <c:v>-2.9567792563888716E-3</c:v>
                </c:pt>
                <c:pt idx="6">
                  <c:v>-3.1228635823103042E-3</c:v>
                </c:pt>
                <c:pt idx="7">
                  <c:v>-2.7789270399331545E-3</c:v>
                </c:pt>
                <c:pt idx="8">
                  <c:v>-7.2855445842635522E-4</c:v>
                </c:pt>
                <c:pt idx="9">
                  <c:v>7.6686158493498302E-4</c:v>
                </c:pt>
                <c:pt idx="10">
                  <c:v>8.6056880155997717E-4</c:v>
                </c:pt>
                <c:pt idx="11">
                  <c:v>1.2113582906691372E-3</c:v>
                </c:pt>
                <c:pt idx="12">
                  <c:v>8.9466302855822494E-3</c:v>
                </c:pt>
                <c:pt idx="13">
                  <c:v>1.3904311776972982E-2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03-4641-BAD0-982BBB122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625967"/>
        <c:axId val="1"/>
      </c:scatterChart>
      <c:valAx>
        <c:axId val="526625967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d(x+)</a:t>
                </a:r>
              </a:p>
            </c:rich>
          </c:tx>
          <c:layout>
            <c:manualLayout>
              <c:xMode val="edge"/>
              <c:yMode val="edge"/>
              <c:x val="0.51993354537610847"/>
              <c:y val="0.8809222851875181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-0.01"/>
        <c:crossBetween val="midCat"/>
        <c:majorUnit val="0.02"/>
      </c:valAx>
      <c:valAx>
        <c:axId val="1"/>
        <c:scaling>
          <c:orientation val="minMax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residual (obs - fit)</a:t>
                </a:r>
              </a:p>
            </c:rich>
          </c:tx>
          <c:layout>
            <c:manualLayout>
              <c:xMode val="edge"/>
              <c:yMode val="edge"/>
              <c:x val="3.9833618395750253E-2"/>
              <c:y val="0.2729618348468366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6625967"/>
        <c:crosses val="autoZero"/>
        <c:crossBetween val="midCat"/>
        <c:majorUnit val="0.0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251460</xdr:colOff>
      <xdr:row>23</xdr:row>
      <xdr:rowOff>91440</xdr:rowOff>
    </xdr:from>
    <xdr:to>
      <xdr:col>24</xdr:col>
      <xdr:colOff>396240</xdr:colOff>
      <xdr:row>44</xdr:row>
      <xdr:rowOff>114300</xdr:rowOff>
    </xdr:to>
    <xdr:graphicFrame macro="">
      <xdr:nvGraphicFramePr>
        <xdr:cNvPr id="6151" name="Chart 7">
          <a:extLst>
            <a:ext uri="{FF2B5EF4-FFF2-40B4-BE49-F238E27FC236}">
              <a16:creationId xmlns:a16="http://schemas.microsoft.com/office/drawing/2014/main" id="{6778EE1E-9331-49AA-8FFD-CEC1E00AEB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0</xdr:colOff>
      <xdr:row>3</xdr:row>
      <xdr:rowOff>0</xdr:rowOff>
    </xdr:from>
    <xdr:to>
      <xdr:col>35</xdr:col>
      <xdr:colOff>487680</xdr:colOff>
      <xdr:row>24</xdr:row>
      <xdr:rowOff>0</xdr:rowOff>
    </xdr:to>
    <xdr:graphicFrame macro="">
      <xdr:nvGraphicFramePr>
        <xdr:cNvPr id="6152" name="Chart 8">
          <a:extLst>
            <a:ext uri="{FF2B5EF4-FFF2-40B4-BE49-F238E27FC236}">
              <a16:creationId xmlns:a16="http://schemas.microsoft.com/office/drawing/2014/main" id="{025C9D45-0570-4C10-A9AE-10C0E06DB5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"/>
  <sheetViews>
    <sheetView workbookViewId="0"/>
  </sheetViews>
  <sheetFormatPr defaultColWidth="9.109375" defaultRowHeight="11.4" x14ac:dyDescent="0.2"/>
  <cols>
    <col min="1" max="1" width="5.88671875" style="52" customWidth="1"/>
    <col min="2" max="2" width="4.44140625" style="52" customWidth="1"/>
    <col min="3" max="3" width="9.44140625" style="52" customWidth="1"/>
    <col min="4" max="4" width="9.44140625" style="52" bestFit="1" customWidth="1"/>
    <col min="5" max="5" width="9.6640625" style="52" bestFit="1" customWidth="1"/>
    <col min="6" max="7" width="9.44140625" style="52" bestFit="1" customWidth="1"/>
    <col min="8" max="8" width="9.109375" style="52" bestFit="1"/>
    <col min="9" max="9" width="10.109375" style="52" bestFit="1" customWidth="1"/>
    <col min="10" max="10" width="8.88671875" style="52" bestFit="1" customWidth="1"/>
    <col min="11" max="11" width="10.6640625" style="52" customWidth="1"/>
    <col min="12" max="12" width="11.109375" style="52" bestFit="1" customWidth="1"/>
    <col min="13" max="13" width="7.6640625" style="52" bestFit="1" customWidth="1"/>
    <col min="14" max="14" width="8.88671875" style="52" bestFit="1" customWidth="1"/>
    <col min="15" max="15" width="9.109375" style="52"/>
    <col min="16" max="16" width="10.109375" style="52" bestFit="1" customWidth="1"/>
    <col min="17" max="16384" width="9.109375" style="52"/>
  </cols>
  <sheetData>
    <row r="1" spans="1:16" ht="12" x14ac:dyDescent="0.25">
      <c r="A1" s="51" t="s">
        <v>153</v>
      </c>
      <c r="E1" s="53"/>
      <c r="H1" s="54"/>
      <c r="I1" s="54"/>
      <c r="J1" s="55"/>
    </row>
    <row r="2" spans="1:16" x14ac:dyDescent="0.2">
      <c r="A2" s="56"/>
      <c r="C2" s="55"/>
      <c r="D2" s="55"/>
      <c r="E2" s="53"/>
      <c r="H2" s="54"/>
      <c r="I2" s="54"/>
      <c r="J2" s="55"/>
      <c r="M2" s="53" t="s">
        <v>124</v>
      </c>
    </row>
    <row r="3" spans="1:16" x14ac:dyDescent="0.2">
      <c r="A3" s="56" t="s">
        <v>90</v>
      </c>
      <c r="C3" s="55" t="s">
        <v>152</v>
      </c>
      <c r="D3" s="55"/>
      <c r="E3" s="53"/>
      <c r="H3" s="54"/>
      <c r="I3" s="54"/>
      <c r="J3" s="55"/>
      <c r="L3" s="53" t="s">
        <v>115</v>
      </c>
      <c r="M3" s="53" t="s">
        <v>125</v>
      </c>
      <c r="N3" s="53" t="s">
        <v>88</v>
      </c>
    </row>
    <row r="4" spans="1:16" x14ac:dyDescent="0.2">
      <c r="A4" s="56" t="s">
        <v>92</v>
      </c>
      <c r="C4" s="57">
        <v>30181</v>
      </c>
      <c r="D4" s="58">
        <v>1982.63</v>
      </c>
      <c r="E4" s="53"/>
      <c r="H4" s="54"/>
      <c r="I4" s="54"/>
      <c r="J4" s="55"/>
      <c r="K4" s="59" t="s">
        <v>110</v>
      </c>
      <c r="L4" s="60">
        <f>'Fitting Straight Line'!L18</f>
        <v>2.3500000000000001E-3</v>
      </c>
      <c r="M4" s="60">
        <f>'Fitting Straight Line'!M18</f>
        <v>1.9400000000000001E-3</v>
      </c>
      <c r="N4" s="61">
        <f>'Fitting Straight Line'!N18</f>
        <v>82.553191489361694</v>
      </c>
    </row>
    <row r="5" spans="1:16" x14ac:dyDescent="0.2">
      <c r="A5" s="56" t="s">
        <v>93</v>
      </c>
      <c r="C5" s="57">
        <v>33834</v>
      </c>
      <c r="D5" s="58">
        <v>1992.63</v>
      </c>
      <c r="E5" s="53"/>
      <c r="H5" s="54"/>
      <c r="I5" s="54"/>
      <c r="J5" s="55"/>
      <c r="K5" s="53" t="s">
        <v>109</v>
      </c>
      <c r="L5" s="62">
        <f>'Fitting Straight Line'!L17</f>
        <v>1.5629999999999999</v>
      </c>
      <c r="M5" s="62">
        <f>'Fitting Straight Line'!M17</f>
        <v>0.17799999999999999</v>
      </c>
      <c r="N5" s="61">
        <f>'Fitting Straight Line'!N17</f>
        <v>11.388355726167628</v>
      </c>
    </row>
    <row r="6" spans="1:16" x14ac:dyDescent="0.2">
      <c r="A6" s="52" t="s">
        <v>84</v>
      </c>
      <c r="C6" s="63">
        <v>7</v>
      </c>
      <c r="E6" s="53"/>
      <c r="H6" s="54"/>
      <c r="I6" s="54"/>
      <c r="J6" s="55"/>
      <c r="K6" s="59" t="s">
        <v>108</v>
      </c>
      <c r="L6" s="62">
        <f>'Fitting Straight Line'!L24</f>
        <v>0.63200000000000001</v>
      </c>
      <c r="M6" s="62">
        <f>'Fitting Straight Line'!M24</f>
        <v>0.14591645798205277</v>
      </c>
      <c r="N6" s="61">
        <f>'Fitting Straight Line'!N24</f>
        <v>23.088047149058983</v>
      </c>
    </row>
    <row r="7" spans="1:16" x14ac:dyDescent="0.2">
      <c r="E7" s="53"/>
      <c r="H7" s="54"/>
      <c r="I7" s="54"/>
      <c r="J7" s="55"/>
      <c r="K7" s="53" t="s">
        <v>111</v>
      </c>
      <c r="L7" s="64">
        <f>'Fitting Straight Line'!L21</f>
        <v>1</v>
      </c>
      <c r="M7" s="64"/>
      <c r="N7" s="61"/>
    </row>
    <row r="8" spans="1:16" ht="12" x14ac:dyDescent="0.25">
      <c r="A8" s="51"/>
      <c r="E8" s="53"/>
      <c r="H8" s="54"/>
      <c r="I8" s="54"/>
      <c r="J8" s="55"/>
      <c r="K8" s="53" t="s">
        <v>112</v>
      </c>
      <c r="L8" s="64">
        <f>'Fitting Straight Line'!L22</f>
        <v>0.9768</v>
      </c>
      <c r="M8" s="64"/>
      <c r="N8" s="61"/>
    </row>
    <row r="9" spans="1:16" x14ac:dyDescent="0.2">
      <c r="A9" s="65"/>
      <c r="B9" s="65"/>
      <c r="C9" s="65"/>
      <c r="D9" s="65"/>
      <c r="E9" s="66"/>
      <c r="F9" s="67"/>
      <c r="G9" s="65"/>
      <c r="H9" s="68"/>
      <c r="I9" s="68"/>
      <c r="J9" s="67"/>
      <c r="K9" s="65"/>
      <c r="L9" s="65"/>
      <c r="M9" s="65"/>
      <c r="N9" s="65"/>
    </row>
    <row r="10" spans="1:16" x14ac:dyDescent="0.2">
      <c r="F10" s="53" t="s">
        <v>50</v>
      </c>
      <c r="G10" s="53" t="s">
        <v>50</v>
      </c>
      <c r="I10" s="53" t="s">
        <v>49</v>
      </c>
      <c r="J10" s="53" t="s">
        <v>127</v>
      </c>
      <c r="K10" s="69" t="s">
        <v>150</v>
      </c>
      <c r="L10" s="70" t="s">
        <v>151</v>
      </c>
    </row>
    <row r="11" spans="1:16" x14ac:dyDescent="0.2">
      <c r="C11" s="53" t="s">
        <v>50</v>
      </c>
      <c r="D11" s="53" t="s">
        <v>50</v>
      </c>
      <c r="E11" s="53" t="s">
        <v>35</v>
      </c>
      <c r="F11" s="53" t="s">
        <v>149</v>
      </c>
      <c r="G11" s="53" t="s">
        <v>149</v>
      </c>
      <c r="H11" s="53" t="s">
        <v>17</v>
      </c>
      <c r="I11" s="53" t="s">
        <v>48</v>
      </c>
      <c r="J11" s="53" t="s">
        <v>132</v>
      </c>
      <c r="K11" s="53" t="s">
        <v>50</v>
      </c>
      <c r="L11" s="53" t="s">
        <v>50</v>
      </c>
    </row>
    <row r="12" spans="1:16" x14ac:dyDescent="0.2">
      <c r="A12" s="53" t="s">
        <v>0</v>
      </c>
      <c r="B12" s="53" t="s">
        <v>0</v>
      </c>
      <c r="C12" s="71">
        <f>D4</f>
        <v>1982.63</v>
      </c>
      <c r="D12" s="71">
        <f>D5</f>
        <v>1992.63</v>
      </c>
      <c r="E12" s="53" t="s">
        <v>17</v>
      </c>
      <c r="F12" s="72">
        <f>C12</f>
        <v>1982.63</v>
      </c>
      <c r="G12" s="72">
        <f>D12</f>
        <v>1992.63</v>
      </c>
      <c r="H12" s="53" t="s">
        <v>149</v>
      </c>
      <c r="I12" s="53" t="s">
        <v>149</v>
      </c>
      <c r="J12" s="53" t="s">
        <v>133</v>
      </c>
      <c r="K12" s="53" t="s">
        <v>149</v>
      </c>
      <c r="L12" s="53" t="s">
        <v>149</v>
      </c>
      <c r="M12" s="53" t="s">
        <v>47</v>
      </c>
      <c r="N12" s="53" t="s">
        <v>46</v>
      </c>
    </row>
    <row r="13" spans="1:16" x14ac:dyDescent="0.2">
      <c r="A13" s="53" t="s">
        <v>1</v>
      </c>
      <c r="B13" s="73" t="s">
        <v>32</v>
      </c>
      <c r="C13" s="73" t="s">
        <v>37</v>
      </c>
      <c r="D13" s="73" t="s">
        <v>38</v>
      </c>
      <c r="E13" s="73" t="s">
        <v>36</v>
      </c>
      <c r="F13" s="73" t="s">
        <v>129</v>
      </c>
      <c r="G13" s="73" t="s">
        <v>130</v>
      </c>
      <c r="H13" s="73" t="s">
        <v>128</v>
      </c>
      <c r="I13" s="74" t="s">
        <v>131</v>
      </c>
      <c r="J13" s="73" t="s">
        <v>39</v>
      </c>
      <c r="K13" s="53" t="s">
        <v>40</v>
      </c>
      <c r="L13" s="73" t="s">
        <v>94</v>
      </c>
      <c r="M13" s="73" t="s">
        <v>42</v>
      </c>
      <c r="N13" s="53" t="s">
        <v>41</v>
      </c>
    </row>
    <row r="14" spans="1:16" x14ac:dyDescent="0.2">
      <c r="A14" s="75" t="s">
        <v>20</v>
      </c>
      <c r="B14" s="75" t="s">
        <v>21</v>
      </c>
      <c r="C14" s="75" t="s">
        <v>22</v>
      </c>
      <c r="D14" s="75" t="s">
        <v>23</v>
      </c>
      <c r="E14" s="75" t="s">
        <v>24</v>
      </c>
      <c r="F14" s="76" t="s">
        <v>25</v>
      </c>
      <c r="G14" s="76" t="s">
        <v>26</v>
      </c>
      <c r="H14" s="75" t="s">
        <v>27</v>
      </c>
      <c r="I14" s="76" t="s">
        <v>28</v>
      </c>
      <c r="J14" s="76" t="s">
        <v>30</v>
      </c>
      <c r="K14" s="75" t="s">
        <v>31</v>
      </c>
      <c r="L14" s="76" t="s">
        <v>33</v>
      </c>
      <c r="M14" s="75" t="s">
        <v>34</v>
      </c>
      <c r="N14" s="75" t="s">
        <v>105</v>
      </c>
    </row>
    <row r="16" spans="1:16" x14ac:dyDescent="0.2">
      <c r="A16" s="53" t="s">
        <v>2</v>
      </c>
      <c r="B16" s="52">
        <v>0</v>
      </c>
      <c r="C16" s="77">
        <v>644716</v>
      </c>
      <c r="D16" s="77">
        <v>791447</v>
      </c>
      <c r="E16" s="77">
        <v>46743.18</v>
      </c>
      <c r="F16" s="78">
        <f>SUM(C16:$C$31)</f>
        <v>3673622</v>
      </c>
      <c r="G16" s="78">
        <f>SUM(D16:D$31)</f>
        <v>5083538</v>
      </c>
      <c r="H16" s="78">
        <f>SUM(E16:$E$31)</f>
        <v>178827.72999999998</v>
      </c>
      <c r="I16" s="78">
        <f t="shared" ref="I16:I31" si="0">SQRT(F16*G16)*($D$12-$C$12)</f>
        <v>43214577.441687427</v>
      </c>
      <c r="J16" s="59" t="s">
        <v>19</v>
      </c>
      <c r="K16" s="59" t="s">
        <v>19</v>
      </c>
      <c r="L16" s="79">
        <f t="shared" ref="L16:L31" si="1">(G16-F16)/I16</f>
        <v>3.262593512345463E-2</v>
      </c>
      <c r="M16" s="80">
        <f t="shared" ref="M16:M30" si="2">H16/I16</f>
        <v>4.1381344117342169E-3</v>
      </c>
      <c r="N16" s="59" t="s">
        <v>19</v>
      </c>
      <c r="P16" s="59"/>
    </row>
    <row r="17" spans="1:16" x14ac:dyDescent="0.2">
      <c r="A17" s="76" t="s">
        <v>3</v>
      </c>
      <c r="B17" s="52">
        <v>5</v>
      </c>
      <c r="C17" s="77">
        <v>614081</v>
      </c>
      <c r="D17" s="77">
        <v>823904</v>
      </c>
      <c r="E17" s="77">
        <v>3101.29</v>
      </c>
      <c r="F17" s="78">
        <f>SUM(C17:$C$31)</f>
        <v>3028906</v>
      </c>
      <c r="G17" s="78">
        <f>SUM(D17:D$31)</f>
        <v>4292091</v>
      </c>
      <c r="H17" s="78">
        <f>SUM(E17:$E$31)</f>
        <v>132084.55000000002</v>
      </c>
      <c r="I17" s="78">
        <f t="shared" si="0"/>
        <v>36055984.499727644</v>
      </c>
      <c r="J17" s="78">
        <f t="shared" ref="J17:J30" si="3">($D$12-$C$12)*SQRT(C16*D17)/5</f>
        <v>1457647.5448667281</v>
      </c>
      <c r="K17" s="79">
        <f t="shared" ref="K17:K30" si="4">J17/I17</f>
        <v>4.0427340012799781E-2</v>
      </c>
      <c r="L17" s="79">
        <f t="shared" si="1"/>
        <v>3.5033989988805928E-2</v>
      </c>
      <c r="M17" s="80">
        <f t="shared" si="2"/>
        <v>3.6633183598411448E-3</v>
      </c>
      <c r="N17" s="79">
        <f t="shared" ref="N17:N30" si="5">K17-L17</f>
        <v>5.3933500239938537E-3</v>
      </c>
      <c r="P17" s="81"/>
    </row>
    <row r="18" spans="1:16" x14ac:dyDescent="0.2">
      <c r="A18" s="76" t="s">
        <v>4</v>
      </c>
      <c r="B18" s="52">
        <v>10</v>
      </c>
      <c r="C18" s="77">
        <v>530892</v>
      </c>
      <c r="D18" s="77">
        <v>727187</v>
      </c>
      <c r="E18" s="77">
        <v>2493.5700000000002</v>
      </c>
      <c r="F18" s="78">
        <f>SUM(C18:$C$31)</f>
        <v>2414825</v>
      </c>
      <c r="G18" s="78">
        <f>SUM(D18:D$31)</f>
        <v>3468187</v>
      </c>
      <c r="H18" s="78">
        <f>SUM(E18:$E$31)</f>
        <v>128983.26000000001</v>
      </c>
      <c r="I18" s="78">
        <f t="shared" si="0"/>
        <v>28939703.993432619</v>
      </c>
      <c r="J18" s="78">
        <f t="shared" si="3"/>
        <v>1336490.5089778977</v>
      </c>
      <c r="K18" s="79">
        <f t="shared" si="4"/>
        <v>4.6181899762388443E-2</v>
      </c>
      <c r="L18" s="79">
        <f t="shared" si="1"/>
        <v>3.6398506364786691E-2</v>
      </c>
      <c r="M18" s="80">
        <f t="shared" si="2"/>
        <v>4.4569654212520829E-3</v>
      </c>
      <c r="N18" s="79">
        <f t="shared" si="5"/>
        <v>9.7833933976017515E-3</v>
      </c>
      <c r="P18" s="81"/>
    </row>
    <row r="19" spans="1:16" x14ac:dyDescent="0.2">
      <c r="A19" s="76" t="s">
        <v>5</v>
      </c>
      <c r="B19" s="52">
        <v>15</v>
      </c>
      <c r="C19" s="77">
        <v>391001</v>
      </c>
      <c r="D19" s="77">
        <v>617666</v>
      </c>
      <c r="E19" s="77">
        <v>3652.04</v>
      </c>
      <c r="F19" s="78">
        <f>SUM(C19:$C$31)</f>
        <v>1883933</v>
      </c>
      <c r="G19" s="78">
        <f>SUM(D19:D$31)</f>
        <v>2741000</v>
      </c>
      <c r="H19" s="78">
        <f>SUM(E19:$E$31)</f>
        <v>126489.69</v>
      </c>
      <c r="I19" s="78">
        <f t="shared" si="0"/>
        <v>22724128.922799222</v>
      </c>
      <c r="J19" s="78">
        <f t="shared" si="3"/>
        <v>1145275.4045590956</v>
      </c>
      <c r="K19" s="79">
        <f t="shared" si="4"/>
        <v>5.0399089375436329E-2</v>
      </c>
      <c r="L19" s="79">
        <f t="shared" si="1"/>
        <v>3.7716165178947776E-2</v>
      </c>
      <c r="M19" s="80">
        <f t="shared" si="2"/>
        <v>5.5663163340484451E-3</v>
      </c>
      <c r="N19" s="79">
        <f t="shared" si="5"/>
        <v>1.2682924196488553E-2</v>
      </c>
      <c r="P19" s="81"/>
    </row>
    <row r="20" spans="1:16" x14ac:dyDescent="0.2">
      <c r="A20" s="76" t="s">
        <v>6</v>
      </c>
      <c r="B20" s="52">
        <v>20</v>
      </c>
      <c r="C20" s="77">
        <v>291006</v>
      </c>
      <c r="D20" s="77">
        <v>468307</v>
      </c>
      <c r="E20" s="77">
        <v>5853.97</v>
      </c>
      <c r="F20" s="78">
        <f>SUM(C20:$C$31)</f>
        <v>1492932</v>
      </c>
      <c r="G20" s="78">
        <f>SUM(D20:D$31)</f>
        <v>2123334</v>
      </c>
      <c r="H20" s="78">
        <f>SUM(E20:$E$31)</f>
        <v>122837.65</v>
      </c>
      <c r="I20" s="78">
        <f t="shared" si="0"/>
        <v>17804474.929882094</v>
      </c>
      <c r="J20" s="78">
        <f t="shared" si="3"/>
        <v>855823.59235300345</v>
      </c>
      <c r="K20" s="79">
        <f t="shared" si="4"/>
        <v>4.8067892803546494E-2</v>
      </c>
      <c r="L20" s="79">
        <f t="shared" si="1"/>
        <v>3.5406941371911305E-2</v>
      </c>
      <c r="M20" s="80">
        <f t="shared" si="2"/>
        <v>6.8992570959694934E-3</v>
      </c>
      <c r="N20" s="79">
        <f t="shared" si="5"/>
        <v>1.266095143163519E-2</v>
      </c>
      <c r="P20" s="81"/>
    </row>
    <row r="21" spans="1:16" x14ac:dyDescent="0.2">
      <c r="A21" s="76" t="s">
        <v>7</v>
      </c>
      <c r="B21" s="52">
        <v>25</v>
      </c>
      <c r="C21" s="77">
        <v>243945</v>
      </c>
      <c r="D21" s="77">
        <v>336770</v>
      </c>
      <c r="E21" s="77">
        <v>8135.37</v>
      </c>
      <c r="F21" s="78">
        <f>SUM(C21:$C$31)</f>
        <v>1201926</v>
      </c>
      <c r="G21" s="78">
        <f>SUM(D21:D$31)</f>
        <v>1655027</v>
      </c>
      <c r="H21" s="78">
        <f>SUM(E21:$E$31)</f>
        <v>116983.67999999999</v>
      </c>
      <c r="I21" s="78">
        <f t="shared" si="0"/>
        <v>14103971.00820191</v>
      </c>
      <c r="J21" s="78">
        <f t="shared" si="3"/>
        <v>626105.7119049466</v>
      </c>
      <c r="K21" s="79">
        <f t="shared" si="4"/>
        <v>4.4392158175938258E-2</v>
      </c>
      <c r="L21" s="79">
        <f t="shared" si="1"/>
        <v>3.2125775055585927E-2</v>
      </c>
      <c r="M21" s="80">
        <f t="shared" si="2"/>
        <v>8.2943789328530412E-3</v>
      </c>
      <c r="N21" s="79">
        <f t="shared" si="5"/>
        <v>1.2266383120352331E-2</v>
      </c>
      <c r="P21" s="81"/>
    </row>
    <row r="22" spans="1:16" x14ac:dyDescent="0.2">
      <c r="A22" s="76" t="s">
        <v>8</v>
      </c>
      <c r="B22" s="52">
        <v>30</v>
      </c>
      <c r="C22" s="77">
        <v>185800</v>
      </c>
      <c r="D22" s="77">
        <v>280948</v>
      </c>
      <c r="E22" s="77">
        <v>9483.7900000000009</v>
      </c>
      <c r="F22" s="78">
        <f>SUM(C22:$C$31)</f>
        <v>957981</v>
      </c>
      <c r="G22" s="78">
        <f>SUM(D22:D$31)</f>
        <v>1318257</v>
      </c>
      <c r="H22" s="78">
        <f>SUM(E22:$E$31)</f>
        <v>108848.31</v>
      </c>
      <c r="I22" s="78">
        <f t="shared" si="0"/>
        <v>11237727.346385477</v>
      </c>
      <c r="J22" s="78">
        <f t="shared" si="3"/>
        <v>523587.08868725935</v>
      </c>
      <c r="K22" s="79">
        <f t="shared" si="4"/>
        <v>4.6591901774131125E-2</v>
      </c>
      <c r="L22" s="79">
        <f t="shared" si="1"/>
        <v>3.2059507131206547E-2</v>
      </c>
      <c r="M22" s="80">
        <f t="shared" si="2"/>
        <v>9.685971784589539E-3</v>
      </c>
      <c r="N22" s="79">
        <f t="shared" si="5"/>
        <v>1.4532394642924579E-2</v>
      </c>
      <c r="P22" s="81"/>
    </row>
    <row r="23" spans="1:16" x14ac:dyDescent="0.2">
      <c r="A23" s="76" t="s">
        <v>9</v>
      </c>
      <c r="B23" s="52">
        <v>35</v>
      </c>
      <c r="C23" s="77">
        <v>148239</v>
      </c>
      <c r="D23" s="77">
        <v>230082</v>
      </c>
      <c r="E23" s="77">
        <v>8693.9699999999993</v>
      </c>
      <c r="F23" s="78">
        <f>SUM(C23:$C$31)</f>
        <v>772181</v>
      </c>
      <c r="G23" s="78">
        <f>SUM(D23:D$31)</f>
        <v>1037309</v>
      </c>
      <c r="H23" s="78">
        <f>SUM(E23:$E$31)</f>
        <v>99364.52</v>
      </c>
      <c r="I23" s="78">
        <f t="shared" si="0"/>
        <v>8949806.1483419854</v>
      </c>
      <c r="J23" s="78">
        <f t="shared" si="3"/>
        <v>413517.76551920961</v>
      </c>
      <c r="K23" s="79">
        <f t="shared" si="4"/>
        <v>4.6204103045943259E-2</v>
      </c>
      <c r="L23" s="79">
        <f t="shared" si="1"/>
        <v>2.9623881859063152E-2</v>
      </c>
      <c r="M23" s="80">
        <f t="shared" si="2"/>
        <v>1.1102421477409093E-2</v>
      </c>
      <c r="N23" s="79">
        <f t="shared" si="5"/>
        <v>1.6580221186880108E-2</v>
      </c>
      <c r="P23" s="81"/>
    </row>
    <row r="24" spans="1:16" x14ac:dyDescent="0.2">
      <c r="A24" s="76" t="s">
        <v>10</v>
      </c>
      <c r="B24" s="52">
        <v>40</v>
      </c>
      <c r="C24" s="77">
        <v>142356</v>
      </c>
      <c r="D24" s="77">
        <v>174815</v>
      </c>
      <c r="E24" s="77">
        <v>8485.65</v>
      </c>
      <c r="F24" s="78">
        <f>SUM(C24:$C$31)</f>
        <v>623942</v>
      </c>
      <c r="G24" s="78">
        <f>SUM(D24:D$31)</f>
        <v>807227</v>
      </c>
      <c r="H24" s="78">
        <f>SUM(E24:$E$31)</f>
        <v>90670.55</v>
      </c>
      <c r="I24" s="78">
        <f t="shared" si="0"/>
        <v>7096920.6620477308</v>
      </c>
      <c r="J24" s="78">
        <f t="shared" si="3"/>
        <v>321959.00847778743</v>
      </c>
      <c r="K24" s="79">
        <f t="shared" si="4"/>
        <v>4.5366014897070872E-2</v>
      </c>
      <c r="L24" s="79">
        <f t="shared" si="1"/>
        <v>2.5825989711306049E-2</v>
      </c>
      <c r="M24" s="80">
        <f t="shared" si="2"/>
        <v>1.2776041091297491E-2</v>
      </c>
      <c r="N24" s="79">
        <f t="shared" si="5"/>
        <v>1.9540025185764823E-2</v>
      </c>
      <c r="P24" s="81"/>
    </row>
    <row r="25" spans="1:16" x14ac:dyDescent="0.2">
      <c r="A25" s="76" t="s">
        <v>11</v>
      </c>
      <c r="B25" s="52">
        <v>45</v>
      </c>
      <c r="C25" s="77">
        <v>116741</v>
      </c>
      <c r="D25" s="77">
        <v>145895</v>
      </c>
      <c r="E25" s="77">
        <v>8580.4500000000007</v>
      </c>
      <c r="F25" s="78">
        <f>SUM(C25:$C$31)</f>
        <v>481586</v>
      </c>
      <c r="G25" s="78">
        <f>SUM(D25:D$31)</f>
        <v>632412</v>
      </c>
      <c r="H25" s="78">
        <f>SUM(E25:$E$31)</f>
        <v>82184.900000000009</v>
      </c>
      <c r="I25" s="78">
        <f t="shared" si="0"/>
        <v>5518702.4329275079</v>
      </c>
      <c r="J25" s="78">
        <f t="shared" si="3"/>
        <v>288229.27415514196</v>
      </c>
      <c r="K25" s="79">
        <f t="shared" si="4"/>
        <v>5.222772520500709E-2</v>
      </c>
      <c r="L25" s="79">
        <f t="shared" si="1"/>
        <v>2.7329975086189107E-2</v>
      </c>
      <c r="M25" s="80">
        <f t="shared" si="2"/>
        <v>1.489206946720687E-2</v>
      </c>
      <c r="N25" s="79">
        <f t="shared" si="5"/>
        <v>2.4897750118817983E-2</v>
      </c>
      <c r="P25" s="81"/>
    </row>
    <row r="26" spans="1:16" x14ac:dyDescent="0.2">
      <c r="A26" s="76" t="s">
        <v>12</v>
      </c>
      <c r="B26" s="52">
        <v>50</v>
      </c>
      <c r="C26" s="77">
        <v>112021</v>
      </c>
      <c r="D26" s="77">
        <v>133680</v>
      </c>
      <c r="E26" s="77">
        <v>11717.1</v>
      </c>
      <c r="F26" s="78">
        <f>SUM(C26:$C$31)</f>
        <v>364845</v>
      </c>
      <c r="G26" s="78">
        <f>SUM(D26:D$31)</f>
        <v>486517</v>
      </c>
      <c r="H26" s="78">
        <f>SUM(E26:$E$31)</f>
        <v>73604.45</v>
      </c>
      <c r="I26" s="78">
        <f t="shared" si="0"/>
        <v>4213113.9892602004</v>
      </c>
      <c r="J26" s="78">
        <f t="shared" si="3"/>
        <v>249847.4484960773</v>
      </c>
      <c r="K26" s="79">
        <f t="shared" si="4"/>
        <v>5.9302323443650558E-2</v>
      </c>
      <c r="L26" s="79">
        <f t="shared" si="1"/>
        <v>2.8879351546186136E-2</v>
      </c>
      <c r="M26" s="80">
        <f t="shared" si="2"/>
        <v>1.7470320097587613E-2</v>
      </c>
      <c r="N26" s="79">
        <f t="shared" si="5"/>
        <v>3.0422971897464422E-2</v>
      </c>
      <c r="P26" s="81"/>
    </row>
    <row r="27" spans="1:16" x14ac:dyDescent="0.2">
      <c r="A27" s="76" t="s">
        <v>13</v>
      </c>
      <c r="B27" s="52">
        <v>55</v>
      </c>
      <c r="C27" s="77">
        <v>67545</v>
      </c>
      <c r="D27" s="77">
        <v>95011</v>
      </c>
      <c r="E27" s="77">
        <v>10344.719999999999</v>
      </c>
      <c r="F27" s="78">
        <f>SUM(C27:$C$31)</f>
        <v>252824</v>
      </c>
      <c r="G27" s="78">
        <f>SUM(D27:D$31)</f>
        <v>352837</v>
      </c>
      <c r="H27" s="78">
        <f>SUM(E27:$E$31)</f>
        <v>61887.350000000006</v>
      </c>
      <c r="I27" s="78">
        <f t="shared" si="0"/>
        <v>2986731.686777371</v>
      </c>
      <c r="J27" s="78">
        <f t="shared" si="3"/>
        <v>206332.03562219805</v>
      </c>
      <c r="K27" s="79">
        <f t="shared" si="4"/>
        <v>6.908288298398392E-2</v>
      </c>
      <c r="L27" s="79">
        <f t="shared" si="1"/>
        <v>3.348576654634558E-2</v>
      </c>
      <c r="M27" s="80">
        <f t="shared" si="2"/>
        <v>2.0720759843940093E-2</v>
      </c>
      <c r="N27" s="79">
        <f t="shared" si="5"/>
        <v>3.559711643763834E-2</v>
      </c>
      <c r="P27" s="81"/>
    </row>
    <row r="28" spans="1:16" x14ac:dyDescent="0.2">
      <c r="A28" s="76" t="s">
        <v>14</v>
      </c>
      <c r="B28" s="52">
        <v>60</v>
      </c>
      <c r="C28" s="77">
        <v>77016</v>
      </c>
      <c r="D28" s="77">
        <v>95811</v>
      </c>
      <c r="E28" s="77">
        <v>15025.25</v>
      </c>
      <c r="F28" s="78">
        <f>SUM(C28:$C$31)</f>
        <v>185279</v>
      </c>
      <c r="G28" s="78">
        <f>SUM(D28:D$31)</f>
        <v>257826</v>
      </c>
      <c r="H28" s="78">
        <f>SUM(E28:$E$31)</f>
        <v>51542.630000000005</v>
      </c>
      <c r="I28" s="78">
        <f t="shared" si="0"/>
        <v>2185629.050273628</v>
      </c>
      <c r="J28" s="78">
        <f t="shared" si="3"/>
        <v>160891.93882851931</v>
      </c>
      <c r="K28" s="79">
        <f t="shared" si="4"/>
        <v>7.3613561646417802E-2</v>
      </c>
      <c r="L28" s="79">
        <f t="shared" si="1"/>
        <v>3.3192732312428565E-2</v>
      </c>
      <c r="M28" s="80">
        <f t="shared" si="2"/>
        <v>2.3582515062904735E-2</v>
      </c>
      <c r="N28" s="79">
        <f t="shared" si="5"/>
        <v>4.0420829333989237E-2</v>
      </c>
      <c r="P28" s="81"/>
    </row>
    <row r="29" spans="1:16" x14ac:dyDescent="0.2">
      <c r="A29" s="76" t="s">
        <v>15</v>
      </c>
      <c r="B29" s="52">
        <v>65</v>
      </c>
      <c r="C29" s="77">
        <v>38894</v>
      </c>
      <c r="D29" s="77">
        <v>51363</v>
      </c>
      <c r="E29" s="77">
        <v>11024.41</v>
      </c>
      <c r="F29" s="78">
        <f>SUM(C29:$C$31)</f>
        <v>108263</v>
      </c>
      <c r="G29" s="78">
        <f>SUM(D29:D$31)</f>
        <v>162015</v>
      </c>
      <c r="H29" s="78">
        <f>SUM(E29:$E$31)</f>
        <v>36517.380000000005</v>
      </c>
      <c r="I29" s="78">
        <f t="shared" si="0"/>
        <v>1324395.3316513917</v>
      </c>
      <c r="J29" s="78">
        <f t="shared" si="3"/>
        <v>125789.86935361687</v>
      </c>
      <c r="K29" s="79">
        <f t="shared" si="4"/>
        <v>9.4979094494971661E-2</v>
      </c>
      <c r="L29" s="79">
        <f t="shared" si="1"/>
        <v>4.0586068763151337E-2</v>
      </c>
      <c r="M29" s="80">
        <f t="shared" si="2"/>
        <v>2.7572869767266844E-2</v>
      </c>
      <c r="N29" s="79">
        <f t="shared" si="5"/>
        <v>5.4393025731820324E-2</v>
      </c>
      <c r="P29" s="81"/>
    </row>
    <row r="30" spans="1:16" x14ac:dyDescent="0.2">
      <c r="A30" s="76" t="s">
        <v>16</v>
      </c>
      <c r="B30" s="52">
        <v>70</v>
      </c>
      <c r="C30" s="77">
        <v>29874</v>
      </c>
      <c r="D30" s="77">
        <v>58462</v>
      </c>
      <c r="E30" s="77">
        <v>12145.24</v>
      </c>
      <c r="F30" s="78">
        <f>SUM(C30:$C$31)</f>
        <v>69369</v>
      </c>
      <c r="G30" s="78">
        <f>SUM(D30:D$31)</f>
        <v>110652</v>
      </c>
      <c r="H30" s="78">
        <f>SUM(E30:$E$31)</f>
        <v>25492.97</v>
      </c>
      <c r="I30" s="78">
        <f t="shared" si="0"/>
        <v>876117.49143593758</v>
      </c>
      <c r="J30" s="78">
        <f t="shared" si="3"/>
        <v>95369.198969059187</v>
      </c>
      <c r="K30" s="79">
        <f t="shared" si="4"/>
        <v>0.10885434876177524</v>
      </c>
      <c r="L30" s="79">
        <f t="shared" si="1"/>
        <v>4.7120392417160921E-2</v>
      </c>
      <c r="M30" s="80">
        <f t="shared" si="2"/>
        <v>2.9097661271683523E-2</v>
      </c>
      <c r="N30" s="79">
        <f t="shared" si="5"/>
        <v>6.1733956344614323E-2</v>
      </c>
      <c r="P30" s="81"/>
    </row>
    <row r="31" spans="1:16" x14ac:dyDescent="0.2">
      <c r="A31" s="76" t="s">
        <v>29</v>
      </c>
      <c r="B31" s="52">
        <v>75</v>
      </c>
      <c r="C31" s="77">
        <v>39495</v>
      </c>
      <c r="D31" s="77">
        <v>52190</v>
      </c>
      <c r="E31" s="77">
        <v>13347.73</v>
      </c>
      <c r="F31" s="78">
        <f>SUM(C31:$C$31)</f>
        <v>39495</v>
      </c>
      <c r="G31" s="78">
        <f>SUM(D31:D$31)</f>
        <v>52190</v>
      </c>
      <c r="H31" s="78">
        <f>SUM(E31:$E$31)</f>
        <v>13347.73</v>
      </c>
      <c r="I31" s="78">
        <f t="shared" si="0"/>
        <v>454009.25651356491</v>
      </c>
      <c r="J31" s="59" t="s">
        <v>19</v>
      </c>
      <c r="K31" s="59" t="s">
        <v>19</v>
      </c>
      <c r="L31" s="79">
        <f t="shared" si="1"/>
        <v>2.7961984954861154E-2</v>
      </c>
      <c r="M31" s="59" t="s">
        <v>19</v>
      </c>
      <c r="N31" s="59" t="s">
        <v>19</v>
      </c>
      <c r="P31" s="59"/>
    </row>
    <row r="32" spans="1:16" x14ac:dyDescent="0.2">
      <c r="A32" s="76" t="s">
        <v>99</v>
      </c>
      <c r="C32" s="82">
        <f>SUM(C16:C31)</f>
        <v>3673622</v>
      </c>
      <c r="D32" s="82">
        <f>SUM(D16:D31)</f>
        <v>5083538</v>
      </c>
      <c r="E32" s="82">
        <f>SUM(E16:E31)</f>
        <v>178827.72999999998</v>
      </c>
      <c r="F32" s="78"/>
      <c r="G32" s="78"/>
      <c r="H32" s="79"/>
      <c r="I32" s="78"/>
      <c r="J32" s="78"/>
      <c r="P32" s="59"/>
    </row>
    <row r="33" spans="1:16" x14ac:dyDescent="0.2">
      <c r="A33" s="65"/>
      <c r="B33" s="65"/>
      <c r="C33" s="65"/>
      <c r="D33" s="65"/>
      <c r="E33" s="66"/>
      <c r="F33" s="67"/>
      <c r="G33" s="65"/>
      <c r="H33" s="68"/>
      <c r="I33" s="68"/>
      <c r="J33" s="67"/>
      <c r="K33" s="65"/>
      <c r="L33" s="65"/>
      <c r="M33" s="65"/>
      <c r="N33" s="65"/>
      <c r="O33" s="83"/>
      <c r="P33" s="81"/>
    </row>
    <row r="34" spans="1:16" ht="12" x14ac:dyDescent="0.25">
      <c r="A34" s="84" t="s">
        <v>102</v>
      </c>
      <c r="B34" s="53"/>
      <c r="C34" s="52" t="s">
        <v>106</v>
      </c>
      <c r="F34" s="85" t="s">
        <v>100</v>
      </c>
      <c r="G34" s="52" t="s">
        <v>67</v>
      </c>
      <c r="H34" s="86" t="s">
        <v>100</v>
      </c>
      <c r="I34" s="52" t="s">
        <v>101</v>
      </c>
      <c r="J34" s="87" t="s">
        <v>100</v>
      </c>
      <c r="K34" s="52" t="s">
        <v>126</v>
      </c>
    </row>
    <row r="36" spans="1:16" x14ac:dyDescent="0.2">
      <c r="H36" s="76"/>
      <c r="I36" s="78"/>
      <c r="J36" s="78"/>
      <c r="K36" s="88"/>
    </row>
    <row r="37" spans="1:16" x14ac:dyDescent="0.2">
      <c r="H37" s="76"/>
      <c r="I37" s="78"/>
      <c r="J37" s="78"/>
      <c r="K37" s="88"/>
    </row>
    <row r="38" spans="1:16" x14ac:dyDescent="0.2">
      <c r="H38" s="76"/>
      <c r="I38" s="78"/>
      <c r="J38" s="78"/>
      <c r="K38" s="88"/>
    </row>
    <row r="39" spans="1:16" x14ac:dyDescent="0.2">
      <c r="H39" s="76"/>
      <c r="I39" s="78"/>
      <c r="J39" s="78"/>
      <c r="K39" s="88"/>
    </row>
    <row r="40" spans="1:16" x14ac:dyDescent="0.2">
      <c r="H40" s="76"/>
      <c r="I40" s="78"/>
      <c r="J40" s="78"/>
      <c r="K40" s="88"/>
    </row>
    <row r="41" spans="1:16" x14ac:dyDescent="0.2">
      <c r="H41" s="76"/>
      <c r="I41" s="78"/>
      <c r="J41" s="78"/>
      <c r="K41" s="88"/>
    </row>
    <row r="42" spans="1:16" x14ac:dyDescent="0.2">
      <c r="H42" s="76"/>
      <c r="I42" s="78"/>
      <c r="J42" s="78"/>
      <c r="K42" s="88"/>
    </row>
    <row r="43" spans="1:16" x14ac:dyDescent="0.2">
      <c r="H43" s="76"/>
      <c r="I43" s="78"/>
      <c r="J43" s="78"/>
      <c r="K43" s="88"/>
    </row>
    <row r="44" spans="1:16" x14ac:dyDescent="0.2">
      <c r="H44" s="76"/>
      <c r="I44" s="78"/>
      <c r="J44" s="78"/>
      <c r="K44" s="88"/>
    </row>
    <row r="45" spans="1:16" x14ac:dyDescent="0.2">
      <c r="H45" s="76"/>
      <c r="I45" s="78"/>
      <c r="J45" s="78"/>
      <c r="K45" s="88"/>
    </row>
    <row r="46" spans="1:16" x14ac:dyDescent="0.2">
      <c r="H46" s="76"/>
      <c r="I46" s="78"/>
      <c r="J46" s="78"/>
      <c r="K46" s="88"/>
    </row>
    <row r="47" spans="1:16" x14ac:dyDescent="0.2">
      <c r="H47" s="76"/>
      <c r="I47" s="78"/>
      <c r="J47" s="78"/>
      <c r="K47" s="88"/>
    </row>
    <row r="48" spans="1:16" x14ac:dyDescent="0.2">
      <c r="H48" s="76"/>
      <c r="I48" s="78"/>
      <c r="J48" s="78"/>
      <c r="K48" s="88"/>
    </row>
    <row r="49" spans="8:11" x14ac:dyDescent="0.2">
      <c r="H49" s="76"/>
      <c r="I49" s="78"/>
      <c r="J49" s="78"/>
      <c r="K49" s="88"/>
    </row>
    <row r="50" spans="8:11" x14ac:dyDescent="0.2">
      <c r="H50" s="76"/>
      <c r="I50" s="78"/>
      <c r="J50" s="78"/>
      <c r="K50" s="88"/>
    </row>
  </sheetData>
  <printOptions gridLines="1"/>
  <pageMargins left="0.75" right="0.75" top="1" bottom="1" header="0.5" footer="0.5"/>
  <pageSetup scale="93" orientation="landscape" horizontalDpi="300" verticalDpi="300" r:id="rId1"/>
  <headerFooter alignWithMargins="0">
    <oddHeader>&amp;A</oddHeader>
    <oddFooter>&amp;F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36"/>
  <sheetViews>
    <sheetView tabSelected="1" workbookViewId="0">
      <selection activeCell="O2" sqref="O2:Q2"/>
    </sheetView>
  </sheetViews>
  <sheetFormatPr defaultColWidth="9.109375" defaultRowHeight="11.4" x14ac:dyDescent="0.2"/>
  <cols>
    <col min="1" max="1" width="5" style="52" customWidth="1"/>
    <col min="2" max="2" width="4.6640625" style="52" customWidth="1"/>
    <col min="3" max="3" width="7.44140625" style="52" bestFit="1" customWidth="1"/>
    <col min="4" max="4" width="7.88671875" style="52" customWidth="1"/>
    <col min="5" max="5" width="8.33203125" style="52" customWidth="1"/>
    <col min="6" max="6" width="8.44140625" style="52" customWidth="1"/>
    <col min="7" max="7" width="9.33203125" style="52" customWidth="1"/>
    <col min="8" max="8" width="9.109375" style="52"/>
    <col min="9" max="9" width="7.44140625" style="52" bestFit="1" customWidth="1"/>
    <col min="10" max="10" width="13.6640625" style="52" customWidth="1"/>
    <col min="11" max="11" width="9.109375" style="52"/>
    <col min="12" max="13" width="7.6640625" style="52" bestFit="1" customWidth="1"/>
    <col min="14" max="14" width="7.5546875" style="52" bestFit="1" customWidth="1"/>
    <col min="15" max="20" width="9.109375" style="52"/>
    <col min="21" max="21" width="9.44140625" style="52" bestFit="1" customWidth="1"/>
    <col min="22" max="33" width="9.109375" style="52"/>
    <col min="34" max="34" width="9.44140625" style="52" bestFit="1" customWidth="1"/>
    <col min="35" max="16384" width="9.109375" style="52"/>
  </cols>
  <sheetData>
    <row r="1" spans="1:35" ht="12" x14ac:dyDescent="0.25">
      <c r="A1" s="51" t="s">
        <v>154</v>
      </c>
      <c r="E1" s="53"/>
      <c r="H1" s="54"/>
      <c r="I1" s="54"/>
      <c r="J1" s="55"/>
      <c r="O1" s="51" t="s">
        <v>154</v>
      </c>
      <c r="V1" s="53" t="s">
        <v>135</v>
      </c>
      <c r="AB1" s="52" t="s">
        <v>154</v>
      </c>
      <c r="AI1" s="52" t="s">
        <v>135</v>
      </c>
    </row>
    <row r="2" spans="1:35" x14ac:dyDescent="0.2">
      <c r="A2" s="56"/>
      <c r="C2" s="89"/>
      <c r="E2" s="53"/>
      <c r="F2" s="56" t="s">
        <v>92</v>
      </c>
      <c r="G2" s="90">
        <f>'Plotting Points'!C4</f>
        <v>30181</v>
      </c>
      <c r="H2" s="91">
        <f>'Plotting Points'!D4</f>
        <v>1982.63</v>
      </c>
      <c r="Q2" s="89"/>
      <c r="T2" s="52" t="s">
        <v>92</v>
      </c>
      <c r="U2" s="90">
        <f>G2</f>
        <v>30181</v>
      </c>
      <c r="V2" s="91">
        <f>H2</f>
        <v>1982.63</v>
      </c>
      <c r="AD2" s="89"/>
      <c r="AG2" s="52" t="s">
        <v>92</v>
      </c>
      <c r="AH2" s="92">
        <f>U2</f>
        <v>30181</v>
      </c>
      <c r="AI2" s="93">
        <f>V2</f>
        <v>1982.63</v>
      </c>
    </row>
    <row r="3" spans="1:35" x14ac:dyDescent="0.2">
      <c r="A3" s="56" t="s">
        <v>90</v>
      </c>
      <c r="C3" s="89" t="str">
        <f>'Plotting Points'!C3</f>
        <v>Male</v>
      </c>
      <c r="E3" s="53"/>
      <c r="F3" s="56" t="s">
        <v>93</v>
      </c>
      <c r="G3" s="90">
        <f>'Plotting Points'!C5</f>
        <v>33834</v>
      </c>
      <c r="H3" s="91">
        <f>'Plotting Points'!D5</f>
        <v>1992.63</v>
      </c>
      <c r="O3" s="52" t="s">
        <v>90</v>
      </c>
      <c r="Q3" s="89" t="str">
        <f>C3</f>
        <v>Male</v>
      </c>
      <c r="T3" s="52" t="s">
        <v>93</v>
      </c>
      <c r="U3" s="90">
        <f>G3</f>
        <v>33834</v>
      </c>
      <c r="V3" s="91">
        <f>H3</f>
        <v>1992.63</v>
      </c>
      <c r="AB3" s="52" t="s">
        <v>90</v>
      </c>
      <c r="AD3" s="89" t="str">
        <f>Q3</f>
        <v>Male</v>
      </c>
      <c r="AG3" s="52" t="s">
        <v>93</v>
      </c>
      <c r="AH3" s="92">
        <f>U3</f>
        <v>33834</v>
      </c>
      <c r="AI3" s="93">
        <f>V3</f>
        <v>1992.63</v>
      </c>
    </row>
    <row r="4" spans="1:35" x14ac:dyDescent="0.2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35" ht="12" x14ac:dyDescent="0.25">
      <c r="A5" s="53"/>
      <c r="B5" s="53"/>
      <c r="E5" s="53" t="s">
        <v>44</v>
      </c>
      <c r="F5" s="53"/>
      <c r="G5" s="53" t="s">
        <v>56</v>
      </c>
      <c r="H5" s="53" t="s">
        <v>52</v>
      </c>
      <c r="I5" s="53" t="s">
        <v>88</v>
      </c>
      <c r="K5" s="51"/>
      <c r="Q5" s="53" t="s">
        <v>95</v>
      </c>
      <c r="R5" s="53" t="s">
        <v>95</v>
      </c>
    </row>
    <row r="6" spans="1:35" ht="12" x14ac:dyDescent="0.25">
      <c r="A6" s="70" t="s">
        <v>59</v>
      </c>
      <c r="B6" s="70" t="s">
        <v>0</v>
      </c>
      <c r="C6" s="53" t="s">
        <v>47</v>
      </c>
      <c r="D6" s="53" t="s">
        <v>46</v>
      </c>
      <c r="E6" s="73" t="s">
        <v>45</v>
      </c>
      <c r="F6" s="53" t="s">
        <v>43</v>
      </c>
      <c r="G6" s="53" t="s">
        <v>60</v>
      </c>
      <c r="H6" s="53" t="s">
        <v>53</v>
      </c>
      <c r="I6" s="53" t="s">
        <v>61</v>
      </c>
      <c r="K6" s="51" t="s">
        <v>116</v>
      </c>
      <c r="O6" s="53" t="s">
        <v>0</v>
      </c>
      <c r="P6" s="53"/>
      <c r="Q6" s="53" t="s">
        <v>57</v>
      </c>
      <c r="R6" s="53" t="s">
        <v>58</v>
      </c>
      <c r="AB6" s="53" t="s">
        <v>97</v>
      </c>
      <c r="AC6" s="53" t="s">
        <v>32</v>
      </c>
      <c r="AD6" s="53" t="s">
        <v>96</v>
      </c>
    </row>
    <row r="7" spans="1:35" x14ac:dyDescent="0.2">
      <c r="A7" s="94" t="s">
        <v>20</v>
      </c>
      <c r="B7" s="94" t="s">
        <v>21</v>
      </c>
      <c r="C7" s="94" t="s">
        <v>22</v>
      </c>
      <c r="D7" s="94" t="s">
        <v>23</v>
      </c>
      <c r="E7" s="94" t="s">
        <v>24</v>
      </c>
      <c r="F7" s="94" t="s">
        <v>25</v>
      </c>
      <c r="G7" s="94" t="s">
        <v>26</v>
      </c>
      <c r="H7" s="94" t="s">
        <v>27</v>
      </c>
      <c r="I7" s="94">
        <v>-9</v>
      </c>
      <c r="K7" s="53" t="s">
        <v>1</v>
      </c>
      <c r="L7" s="53" t="s">
        <v>83</v>
      </c>
      <c r="M7" s="53" t="s">
        <v>83</v>
      </c>
      <c r="P7" s="79">
        <v>0</v>
      </c>
      <c r="R7" s="79">
        <f>'Fitting Straight Line'!L18</f>
        <v>2.3500000000000001E-3</v>
      </c>
      <c r="AB7" s="52">
        <v>5</v>
      </c>
      <c r="AC7" s="80">
        <f t="shared" ref="AC7:AC20" si="0">P8</f>
        <v>3.6633183598411448E-3</v>
      </c>
      <c r="AD7" s="95">
        <f t="shared" ref="AD7:AD20" si="1">H9</f>
        <v>-2.6824165724378558E-3</v>
      </c>
    </row>
    <row r="8" spans="1:35" x14ac:dyDescent="0.2">
      <c r="K8" s="53" t="s">
        <v>117</v>
      </c>
      <c r="L8" s="53" t="s">
        <v>47</v>
      </c>
      <c r="M8" s="53" t="s">
        <v>46</v>
      </c>
      <c r="O8" s="52">
        <f t="shared" ref="O8:O21" si="2">B9</f>
        <v>5</v>
      </c>
      <c r="P8" s="80">
        <f t="shared" ref="P8:P21" si="3">C9</f>
        <v>3.6633183598411448E-3</v>
      </c>
      <c r="Q8" s="80">
        <f t="shared" ref="Q8:Q21" si="4">D9</f>
        <v>5.3933500239938537E-3</v>
      </c>
      <c r="R8" s="80">
        <f t="shared" ref="R8:R21" si="5">G9</f>
        <v>8.0757665964317094E-3</v>
      </c>
      <c r="AB8" s="52">
        <v>10</v>
      </c>
      <c r="AC8" s="80">
        <f t="shared" si="0"/>
        <v>4.4569654212520829E-3</v>
      </c>
      <c r="AD8" s="95">
        <f t="shared" si="1"/>
        <v>4.671564441847461E-4</v>
      </c>
    </row>
    <row r="9" spans="1:35" x14ac:dyDescent="0.2">
      <c r="A9" s="52">
        <v>1</v>
      </c>
      <c r="B9" s="52">
        <v>5</v>
      </c>
      <c r="C9" s="96">
        <f>'Plotting Points'!M17</f>
        <v>3.6633183598411448E-3</v>
      </c>
      <c r="D9" s="97">
        <f>'Plotting Points'!N17</f>
        <v>5.3933500239938537E-3</v>
      </c>
      <c r="E9" s="79">
        <f>D9-$L$11*C9</f>
        <v>-3.3241657243785524E-4</v>
      </c>
      <c r="F9" s="88">
        <f t="shared" ref="F9:F22" si="6">(D9-$E$24)/C9</f>
        <v>0.83076318382708747</v>
      </c>
      <c r="G9" s="79">
        <f t="shared" ref="G9:G22" si="7">$L$18+$L$17*C9</f>
        <v>8.0757665964317094E-3</v>
      </c>
      <c r="H9" s="95">
        <f t="shared" ref="H9:H22" si="8">D9-G9</f>
        <v>-2.6824165724378558E-3</v>
      </c>
      <c r="I9" s="98">
        <f t="shared" ref="I9:I22" si="9">100*H9/D9</f>
        <v>-49.735629256479953</v>
      </c>
      <c r="K9" s="52" t="s">
        <v>113</v>
      </c>
      <c r="L9" s="99">
        <f>ROUND(MEDIAN(C9:C13),5)</f>
        <v>5.5700000000000003E-3</v>
      </c>
      <c r="M9" s="99">
        <f>ROUND(MEDIAN(D9:D13),5)</f>
        <v>1.227E-2</v>
      </c>
      <c r="O9" s="52">
        <f t="shared" si="2"/>
        <v>10</v>
      </c>
      <c r="P9" s="80">
        <f t="shared" si="3"/>
        <v>4.4569654212520829E-3</v>
      </c>
      <c r="Q9" s="80">
        <f t="shared" si="4"/>
        <v>9.7833933976017515E-3</v>
      </c>
      <c r="R9" s="80">
        <f t="shared" si="5"/>
        <v>9.3162369534170054E-3</v>
      </c>
      <c r="AB9" s="52">
        <v>15</v>
      </c>
      <c r="AC9" s="80">
        <f t="shared" si="0"/>
        <v>5.5663163340484451E-3</v>
      </c>
      <c r="AD9" s="95">
        <f t="shared" si="1"/>
        <v>1.632771766370833E-3</v>
      </c>
    </row>
    <row r="10" spans="1:35" x14ac:dyDescent="0.2">
      <c r="A10" s="52">
        <v>2</v>
      </c>
      <c r="B10" s="52">
        <v>10</v>
      </c>
      <c r="C10" s="96">
        <f>'Plotting Points'!M18</f>
        <v>4.4569654212520829E-3</v>
      </c>
      <c r="D10" s="97">
        <f>'Plotting Points'!N18</f>
        <v>9.7833933976017515E-3</v>
      </c>
      <c r="E10" s="79">
        <f t="shared" ref="E10:E22" si="10">D10-$L$11*C10</f>
        <v>2.8171564441847458E-3</v>
      </c>
      <c r="F10" s="88">
        <f t="shared" si="6"/>
        <v>1.6678149132944158</v>
      </c>
      <c r="G10" s="79">
        <f t="shared" si="7"/>
        <v>9.3162369534170054E-3</v>
      </c>
      <c r="H10" s="95">
        <f t="shared" si="8"/>
        <v>4.671564441847461E-4</v>
      </c>
      <c r="I10" s="98">
        <f t="shared" si="9"/>
        <v>4.7749939637433192</v>
      </c>
      <c r="K10" s="52" t="s">
        <v>114</v>
      </c>
      <c r="L10" s="99">
        <f>ROUND(MEDIAN(C18:C22),5)</f>
        <v>2.358E-2</v>
      </c>
      <c r="M10" s="99">
        <f>ROUND(MEDIAN(D18:D22),5)</f>
        <v>4.0419999999999998E-2</v>
      </c>
      <c r="O10" s="52">
        <f t="shared" si="2"/>
        <v>15</v>
      </c>
      <c r="P10" s="80">
        <f t="shared" si="3"/>
        <v>5.5663163340484451E-3</v>
      </c>
      <c r="Q10" s="80">
        <f t="shared" si="4"/>
        <v>1.2682924196488553E-2</v>
      </c>
      <c r="R10" s="80">
        <f t="shared" si="5"/>
        <v>1.105015243011772E-2</v>
      </c>
      <c r="AB10" s="52">
        <v>20</v>
      </c>
      <c r="AC10" s="80">
        <f t="shared" si="0"/>
        <v>6.8992570959694934E-3</v>
      </c>
      <c r="AD10" s="95">
        <f t="shared" si="1"/>
        <v>-4.7258740936512861E-4</v>
      </c>
    </row>
    <row r="11" spans="1:35" x14ac:dyDescent="0.2">
      <c r="A11" s="52">
        <v>3</v>
      </c>
      <c r="B11" s="52">
        <v>15</v>
      </c>
      <c r="C11" s="96">
        <f>'Plotting Points'!M19</f>
        <v>5.5663163340484451E-3</v>
      </c>
      <c r="D11" s="97">
        <f>'Plotting Points'!N19</f>
        <v>1.2682924196488553E-2</v>
      </c>
      <c r="E11" s="79">
        <f t="shared" si="10"/>
        <v>3.9827717663708326E-3</v>
      </c>
      <c r="F11" s="88">
        <f t="shared" si="6"/>
        <v>1.8563307538386522</v>
      </c>
      <c r="G11" s="79">
        <f t="shared" si="7"/>
        <v>1.105015243011772E-2</v>
      </c>
      <c r="H11" s="95">
        <f t="shared" si="8"/>
        <v>1.632771766370833E-3</v>
      </c>
      <c r="I11" s="98">
        <f t="shared" si="9"/>
        <v>12.873780061091029</v>
      </c>
      <c r="K11" s="53" t="s">
        <v>119</v>
      </c>
      <c r="L11" s="100">
        <f>ROUND((M10-M9)/(L10-L9),3)</f>
        <v>1.5629999999999999</v>
      </c>
      <c r="M11" s="80"/>
      <c r="O11" s="52">
        <f t="shared" si="2"/>
        <v>20</v>
      </c>
      <c r="P11" s="80">
        <f t="shared" si="3"/>
        <v>6.8992570959694934E-3</v>
      </c>
      <c r="Q11" s="80">
        <f t="shared" si="4"/>
        <v>1.266095143163519E-2</v>
      </c>
      <c r="R11" s="80">
        <f t="shared" si="5"/>
        <v>1.3133538841000318E-2</v>
      </c>
      <c r="AB11" s="52">
        <v>25</v>
      </c>
      <c r="AC11" s="80">
        <f t="shared" si="0"/>
        <v>8.2943789328530412E-3</v>
      </c>
      <c r="AD11" s="95">
        <f t="shared" si="1"/>
        <v>-3.0477311516969707E-3</v>
      </c>
    </row>
    <row r="12" spans="1:35" x14ac:dyDescent="0.2">
      <c r="A12" s="52">
        <v>4</v>
      </c>
      <c r="B12" s="52">
        <v>20</v>
      </c>
      <c r="C12" s="96">
        <f>'Plotting Points'!M20</f>
        <v>6.8992570959694934E-3</v>
      </c>
      <c r="D12" s="97">
        <f>'Plotting Points'!N20</f>
        <v>1.266095143163519E-2</v>
      </c>
      <c r="E12" s="79">
        <f t="shared" si="10"/>
        <v>1.8774125906348711E-3</v>
      </c>
      <c r="F12" s="88">
        <f t="shared" si="6"/>
        <v>1.494501696082436</v>
      </c>
      <c r="G12" s="79">
        <f t="shared" si="7"/>
        <v>1.3133538841000318E-2</v>
      </c>
      <c r="H12" s="95">
        <f t="shared" si="8"/>
        <v>-4.7258740936512861E-4</v>
      </c>
      <c r="I12" s="98">
        <f t="shared" si="9"/>
        <v>-3.7326374081516631</v>
      </c>
      <c r="O12" s="52">
        <f t="shared" si="2"/>
        <v>25</v>
      </c>
      <c r="P12" s="80">
        <f t="shared" si="3"/>
        <v>8.2943789328530412E-3</v>
      </c>
      <c r="Q12" s="80">
        <f t="shared" si="4"/>
        <v>1.2266383120352331E-2</v>
      </c>
      <c r="R12" s="80">
        <f t="shared" si="5"/>
        <v>1.5314114272049302E-2</v>
      </c>
      <c r="AB12" s="52">
        <v>30</v>
      </c>
      <c r="AC12" s="80">
        <f t="shared" si="0"/>
        <v>9.685971784589539E-3</v>
      </c>
      <c r="AD12" s="95">
        <f t="shared" si="1"/>
        <v>-2.9567792563888716E-3</v>
      </c>
    </row>
    <row r="13" spans="1:35" ht="12" x14ac:dyDescent="0.25">
      <c r="A13" s="52">
        <v>5</v>
      </c>
      <c r="B13" s="52">
        <v>25</v>
      </c>
      <c r="C13" s="96">
        <f>'Plotting Points'!M21</f>
        <v>8.2943789328530412E-3</v>
      </c>
      <c r="D13" s="97">
        <f>'Plotting Points'!N21</f>
        <v>1.2266383120352331E-2</v>
      </c>
      <c r="E13" s="79">
        <f t="shared" si="10"/>
        <v>-6.97731151696971E-4</v>
      </c>
      <c r="F13" s="88">
        <f t="shared" si="6"/>
        <v>1.1955546280957488</v>
      </c>
      <c r="G13" s="79">
        <f t="shared" si="7"/>
        <v>1.5314114272049302E-2</v>
      </c>
      <c r="H13" s="95">
        <f t="shared" si="8"/>
        <v>-3.0477311516969707E-3</v>
      </c>
      <c r="I13" s="98">
        <f t="shared" si="9"/>
        <v>-24.846208713636116</v>
      </c>
      <c r="K13" s="51" t="s">
        <v>118</v>
      </c>
      <c r="O13" s="52">
        <f t="shared" si="2"/>
        <v>30</v>
      </c>
      <c r="P13" s="80">
        <f t="shared" si="3"/>
        <v>9.685971784589539E-3</v>
      </c>
      <c r="Q13" s="80">
        <f t="shared" si="4"/>
        <v>1.4532394642924579E-2</v>
      </c>
      <c r="R13" s="80">
        <f t="shared" si="5"/>
        <v>1.748917389931345E-2</v>
      </c>
      <c r="AB13" s="52">
        <v>35</v>
      </c>
      <c r="AC13" s="80">
        <f t="shared" si="0"/>
        <v>1.1102421477409093E-2</v>
      </c>
      <c r="AD13" s="95">
        <f t="shared" si="1"/>
        <v>-3.1228635823103042E-3</v>
      </c>
    </row>
    <row r="14" spans="1:35" ht="12" x14ac:dyDescent="0.25">
      <c r="A14" s="52">
        <v>6</v>
      </c>
      <c r="B14" s="52">
        <v>30</v>
      </c>
      <c r="C14" s="96">
        <f>'Plotting Points'!M22</f>
        <v>9.685971784589539E-3</v>
      </c>
      <c r="D14" s="97">
        <f>'Plotting Points'!N22</f>
        <v>1.4532394642924579E-2</v>
      </c>
      <c r="E14" s="79">
        <f t="shared" si="10"/>
        <v>-6.067792563888702E-4</v>
      </c>
      <c r="F14" s="88">
        <f t="shared" si="6"/>
        <v>1.2577359209642618</v>
      </c>
      <c r="G14" s="79">
        <f t="shared" si="7"/>
        <v>1.748917389931345E-2</v>
      </c>
      <c r="H14" s="95">
        <f t="shared" si="8"/>
        <v>-2.9567792563888716E-3</v>
      </c>
      <c r="I14" s="98">
        <f t="shared" si="9"/>
        <v>-20.346125528791951</v>
      </c>
      <c r="K14" s="51" t="s">
        <v>123</v>
      </c>
      <c r="O14" s="52">
        <f t="shared" si="2"/>
        <v>35</v>
      </c>
      <c r="P14" s="80">
        <f t="shared" si="3"/>
        <v>1.1102421477409093E-2</v>
      </c>
      <c r="Q14" s="80">
        <f t="shared" si="4"/>
        <v>1.6580221186880108E-2</v>
      </c>
      <c r="R14" s="80">
        <f t="shared" si="5"/>
        <v>1.9703084769190412E-2</v>
      </c>
      <c r="AB14" s="52">
        <v>40</v>
      </c>
      <c r="AC14" s="80">
        <f t="shared" si="0"/>
        <v>1.2776041091297491E-2</v>
      </c>
      <c r="AD14" s="95">
        <f t="shared" si="1"/>
        <v>-2.7789270399331545E-3</v>
      </c>
    </row>
    <row r="15" spans="1:35" x14ac:dyDescent="0.2">
      <c r="A15" s="52">
        <v>7</v>
      </c>
      <c r="B15" s="52">
        <v>35</v>
      </c>
      <c r="C15" s="96">
        <f>'Plotting Points'!M23</f>
        <v>1.1102421477409093E-2</v>
      </c>
      <c r="D15" s="97">
        <f>'Plotting Points'!N23</f>
        <v>1.6580221186880108E-2</v>
      </c>
      <c r="E15" s="79">
        <f t="shared" si="10"/>
        <v>-7.7286358231030278E-4</v>
      </c>
      <c r="F15" s="88">
        <f t="shared" si="6"/>
        <v>1.2817222995754014</v>
      </c>
      <c r="G15" s="79">
        <f t="shared" si="7"/>
        <v>1.9703084769190412E-2</v>
      </c>
      <c r="H15" s="95">
        <f t="shared" si="8"/>
        <v>-3.1228635823103042E-3</v>
      </c>
      <c r="I15" s="98">
        <f t="shared" si="9"/>
        <v>-18.834872871185937</v>
      </c>
      <c r="M15" s="53" t="s">
        <v>124</v>
      </c>
      <c r="O15" s="52">
        <f t="shared" si="2"/>
        <v>40</v>
      </c>
      <c r="P15" s="80">
        <f t="shared" si="3"/>
        <v>1.2776041091297491E-2</v>
      </c>
      <c r="Q15" s="80">
        <f t="shared" si="4"/>
        <v>1.9540025185764823E-2</v>
      </c>
      <c r="R15" s="80">
        <f t="shared" si="5"/>
        <v>2.2318952225697977E-2</v>
      </c>
      <c r="AB15" s="52">
        <v>45</v>
      </c>
      <c r="AC15" s="80">
        <f t="shared" si="0"/>
        <v>1.489206946720687E-2</v>
      </c>
      <c r="AD15" s="95">
        <f t="shared" si="1"/>
        <v>-7.2855445842635522E-4</v>
      </c>
    </row>
    <row r="16" spans="1:35" x14ac:dyDescent="0.2">
      <c r="A16" s="52">
        <v>8</v>
      </c>
      <c r="B16" s="52">
        <v>40</v>
      </c>
      <c r="C16" s="96">
        <f>'Plotting Points'!M24</f>
        <v>1.2776041091297491E-2</v>
      </c>
      <c r="D16" s="97">
        <f>'Plotting Points'!N24</f>
        <v>1.9540025185764823E-2</v>
      </c>
      <c r="E16" s="79">
        <f t="shared" si="10"/>
        <v>-4.2892703993315309E-4</v>
      </c>
      <c r="F16" s="88">
        <f t="shared" si="6"/>
        <v>1.3454891905031483</v>
      </c>
      <c r="G16" s="79">
        <f t="shared" si="7"/>
        <v>2.2318952225697977E-2</v>
      </c>
      <c r="H16" s="95">
        <f t="shared" si="8"/>
        <v>-2.7789270399331545E-3</v>
      </c>
      <c r="I16" s="98">
        <f t="shared" si="9"/>
        <v>-14.221716776279496</v>
      </c>
      <c r="K16" s="53" t="s">
        <v>122</v>
      </c>
      <c r="L16" s="53" t="s">
        <v>121</v>
      </c>
      <c r="M16" s="53" t="s">
        <v>125</v>
      </c>
      <c r="N16" s="53" t="s">
        <v>88</v>
      </c>
      <c r="O16" s="52">
        <f t="shared" si="2"/>
        <v>45</v>
      </c>
      <c r="P16" s="80">
        <f t="shared" si="3"/>
        <v>1.489206946720687E-2</v>
      </c>
      <c r="Q16" s="80">
        <f t="shared" si="4"/>
        <v>2.4897750118817983E-2</v>
      </c>
      <c r="R16" s="80">
        <f t="shared" si="5"/>
        <v>2.5626304577244338E-2</v>
      </c>
      <c r="AB16" s="52">
        <v>50</v>
      </c>
      <c r="AC16" s="80">
        <f t="shared" si="0"/>
        <v>1.7470320097587613E-2</v>
      </c>
      <c r="AD16" s="95">
        <f t="shared" si="1"/>
        <v>7.6686158493498302E-4</v>
      </c>
    </row>
    <row r="17" spans="1:30" x14ac:dyDescent="0.2">
      <c r="A17" s="52">
        <v>9</v>
      </c>
      <c r="B17" s="52">
        <v>45</v>
      </c>
      <c r="C17" s="96">
        <f>'Plotting Points'!M25</f>
        <v>1.489206946720687E-2</v>
      </c>
      <c r="D17" s="97">
        <f>'Plotting Points'!N25</f>
        <v>2.4897750118817983E-2</v>
      </c>
      <c r="E17" s="79">
        <f t="shared" si="10"/>
        <v>1.6214455415736462E-3</v>
      </c>
      <c r="F17" s="88">
        <f t="shared" si="6"/>
        <v>1.5140776886966132</v>
      </c>
      <c r="G17" s="79">
        <f t="shared" si="7"/>
        <v>2.5626304577244338E-2</v>
      </c>
      <c r="H17" s="95">
        <f t="shared" si="8"/>
        <v>-7.2855445842635522E-4</v>
      </c>
      <c r="I17" s="98">
        <f t="shared" si="9"/>
        <v>-2.9261859202117466</v>
      </c>
      <c r="K17" s="53" t="s">
        <v>120</v>
      </c>
      <c r="L17" s="101">
        <f>L11</f>
        <v>1.5629999999999999</v>
      </c>
      <c r="M17" s="101">
        <f>F25</f>
        <v>0.17799999999999999</v>
      </c>
      <c r="N17" s="102">
        <f>100*M17/L17</f>
        <v>11.388355726167628</v>
      </c>
      <c r="O17" s="52">
        <f t="shared" si="2"/>
        <v>50</v>
      </c>
      <c r="P17" s="80">
        <f t="shared" si="3"/>
        <v>1.7470320097587613E-2</v>
      </c>
      <c r="Q17" s="80">
        <f t="shared" si="4"/>
        <v>3.0422971897464422E-2</v>
      </c>
      <c r="R17" s="80">
        <f t="shared" si="5"/>
        <v>2.9656110312529439E-2</v>
      </c>
      <c r="AB17" s="52">
        <v>55</v>
      </c>
      <c r="AC17" s="80">
        <f t="shared" si="0"/>
        <v>2.0720759843940093E-2</v>
      </c>
      <c r="AD17" s="95">
        <f t="shared" si="1"/>
        <v>8.6056880155997717E-4</v>
      </c>
    </row>
    <row r="18" spans="1:30" x14ac:dyDescent="0.2">
      <c r="A18" s="52">
        <v>10</v>
      </c>
      <c r="B18" s="52">
        <v>50</v>
      </c>
      <c r="C18" s="96">
        <f>'Plotting Points'!M26</f>
        <v>1.7470320097587613E-2</v>
      </c>
      <c r="D18" s="97">
        <f>'Plotting Points'!N26</f>
        <v>3.0422971897464422E-2</v>
      </c>
      <c r="E18" s="79">
        <f t="shared" si="10"/>
        <v>3.1168615849349844E-3</v>
      </c>
      <c r="F18" s="88">
        <f t="shared" si="6"/>
        <v>1.6068951078544276</v>
      </c>
      <c r="G18" s="79">
        <f t="shared" si="7"/>
        <v>2.9656110312529439E-2</v>
      </c>
      <c r="H18" s="95">
        <f t="shared" si="8"/>
        <v>7.6686158493498302E-4</v>
      </c>
      <c r="I18" s="98">
        <f t="shared" si="9"/>
        <v>2.5206662502255295</v>
      </c>
      <c r="K18" s="53" t="s">
        <v>54</v>
      </c>
      <c r="L18" s="103">
        <f>E24</f>
        <v>2.3500000000000001E-3</v>
      </c>
      <c r="M18" s="103">
        <f>E25</f>
        <v>1.9400000000000001E-3</v>
      </c>
      <c r="N18" s="102">
        <f>100*M18/L18</f>
        <v>82.553191489361694</v>
      </c>
      <c r="O18" s="52">
        <f t="shared" si="2"/>
        <v>55</v>
      </c>
      <c r="P18" s="80">
        <f t="shared" si="3"/>
        <v>2.0720759843940093E-2</v>
      </c>
      <c r="Q18" s="80">
        <f t="shared" si="4"/>
        <v>3.559711643763834E-2</v>
      </c>
      <c r="R18" s="80">
        <f t="shared" si="5"/>
        <v>3.4736547636078363E-2</v>
      </c>
      <c r="AB18" s="52">
        <v>60</v>
      </c>
      <c r="AC18" s="80">
        <f t="shared" si="0"/>
        <v>2.3582515062904735E-2</v>
      </c>
      <c r="AD18" s="95">
        <f t="shared" si="1"/>
        <v>1.2113582906691372E-3</v>
      </c>
    </row>
    <row r="19" spans="1:30" x14ac:dyDescent="0.2">
      <c r="A19" s="52">
        <v>11</v>
      </c>
      <c r="B19" s="52">
        <v>55</v>
      </c>
      <c r="C19" s="96">
        <f>'Plotting Points'!M27</f>
        <v>2.0720759843940093E-2</v>
      </c>
      <c r="D19" s="97">
        <f>'Plotting Points'!N27</f>
        <v>3.559711643763834E-2</v>
      </c>
      <c r="E19" s="79">
        <f t="shared" si="10"/>
        <v>3.2105688015599751E-3</v>
      </c>
      <c r="F19" s="88">
        <f t="shared" si="6"/>
        <v>1.6045317202670855</v>
      </c>
      <c r="G19" s="79">
        <f t="shared" si="7"/>
        <v>3.4736547636078363E-2</v>
      </c>
      <c r="H19" s="95">
        <f t="shared" si="8"/>
        <v>8.6056880155997717E-4</v>
      </c>
      <c r="I19" s="98">
        <f t="shared" si="9"/>
        <v>2.4175239111504587</v>
      </c>
      <c r="K19" s="53" t="s">
        <v>51</v>
      </c>
      <c r="L19" s="87">
        <f>'Plotting Points'!D5-'Plotting Points'!D4</f>
        <v>10</v>
      </c>
      <c r="M19" s="104"/>
      <c r="N19" s="102"/>
      <c r="O19" s="52">
        <f t="shared" si="2"/>
        <v>60</v>
      </c>
      <c r="P19" s="80">
        <f t="shared" si="3"/>
        <v>2.3582515062904735E-2</v>
      </c>
      <c r="Q19" s="80">
        <f t="shared" si="4"/>
        <v>4.0420829333989237E-2</v>
      </c>
      <c r="R19" s="80">
        <f t="shared" si="5"/>
        <v>3.92094710433201E-2</v>
      </c>
      <c r="AB19" s="52">
        <v>65</v>
      </c>
      <c r="AC19" s="80">
        <f t="shared" si="0"/>
        <v>2.7572869767266844E-2</v>
      </c>
      <c r="AD19" s="95">
        <f t="shared" si="1"/>
        <v>8.9466302855822494E-3</v>
      </c>
    </row>
    <row r="20" spans="1:30" x14ac:dyDescent="0.2">
      <c r="A20" s="52">
        <v>12</v>
      </c>
      <c r="B20" s="52">
        <v>60</v>
      </c>
      <c r="C20" s="96">
        <f>'Plotting Points'!M28</f>
        <v>2.3582515062904735E-2</v>
      </c>
      <c r="D20" s="97">
        <f>'Plotting Points'!N28</f>
        <v>4.0420829333989237E-2</v>
      </c>
      <c r="E20" s="79">
        <f t="shared" si="10"/>
        <v>3.5613582906691352E-3</v>
      </c>
      <c r="F20" s="88">
        <f t="shared" si="6"/>
        <v>1.6143667981314938</v>
      </c>
      <c r="G20" s="79">
        <f t="shared" si="7"/>
        <v>3.92094710433201E-2</v>
      </c>
      <c r="H20" s="95">
        <f t="shared" si="8"/>
        <v>1.2113582906691372E-3</v>
      </c>
      <c r="I20" s="98">
        <f t="shared" si="9"/>
        <v>2.9968664934109235</v>
      </c>
      <c r="K20" s="53" t="s">
        <v>134</v>
      </c>
      <c r="L20" s="104">
        <f>ROUND(EXP(L19*L18),4)</f>
        <v>1.0238</v>
      </c>
      <c r="M20" s="104">
        <f>ABS(EXP($L$19*(L18-M18))-EXP($L$19*(L18+M18)))</f>
        <v>3.9725089782026046E-2</v>
      </c>
      <c r="N20" s="102">
        <f>100*M20/L20</f>
        <v>3.8801611429992229</v>
      </c>
      <c r="O20" s="52">
        <f t="shared" si="2"/>
        <v>65</v>
      </c>
      <c r="P20" s="80">
        <f t="shared" si="3"/>
        <v>2.7572869767266844E-2</v>
      </c>
      <c r="Q20" s="80">
        <f t="shared" si="4"/>
        <v>5.4393025731820324E-2</v>
      </c>
      <c r="R20" s="80">
        <f t="shared" si="5"/>
        <v>4.5446395446238075E-2</v>
      </c>
      <c r="AB20" s="52">
        <v>70</v>
      </c>
      <c r="AC20" s="80">
        <f t="shared" si="0"/>
        <v>2.9097661271683523E-2</v>
      </c>
      <c r="AD20" s="95">
        <f t="shared" si="1"/>
        <v>1.3904311776972982E-2</v>
      </c>
    </row>
    <row r="21" spans="1:30" x14ac:dyDescent="0.2">
      <c r="A21" s="52">
        <v>13</v>
      </c>
      <c r="B21" s="52">
        <v>65</v>
      </c>
      <c r="C21" s="96">
        <f>'Plotting Points'!M29</f>
        <v>2.7572869767266844E-2</v>
      </c>
      <c r="D21" s="97">
        <f>'Plotting Points'!N29</f>
        <v>5.4393025731820324E-2</v>
      </c>
      <c r="E21" s="79">
        <f t="shared" si="10"/>
        <v>1.1296630285582247E-2</v>
      </c>
      <c r="F21" s="88">
        <f t="shared" si="6"/>
        <v>1.8874722207408112</v>
      </c>
      <c r="G21" s="79">
        <f t="shared" si="7"/>
        <v>4.5446395446238075E-2</v>
      </c>
      <c r="H21" s="95">
        <f t="shared" si="8"/>
        <v>8.9466302855822494E-3</v>
      </c>
      <c r="I21" s="98">
        <f t="shared" si="9"/>
        <v>16.448120260293599</v>
      </c>
      <c r="K21" s="53" t="s">
        <v>86</v>
      </c>
      <c r="L21" s="104">
        <f>ROUND(IF(L20&gt;1,1,L20),4)</f>
        <v>1</v>
      </c>
      <c r="M21" s="104"/>
      <c r="N21" s="102"/>
      <c r="O21" s="52">
        <f t="shared" si="2"/>
        <v>70</v>
      </c>
      <c r="P21" s="80">
        <f t="shared" si="3"/>
        <v>2.9097661271683523E-2</v>
      </c>
      <c r="Q21" s="80">
        <f t="shared" si="4"/>
        <v>6.1733956344614323E-2</v>
      </c>
      <c r="R21" s="80">
        <f t="shared" si="5"/>
        <v>4.7829644567641341E-2</v>
      </c>
    </row>
    <row r="22" spans="1:30" x14ac:dyDescent="0.2">
      <c r="A22" s="52">
        <v>14</v>
      </c>
      <c r="B22" s="52">
        <v>70</v>
      </c>
      <c r="C22" s="96">
        <f>'Plotting Points'!M30</f>
        <v>2.9097661271683523E-2</v>
      </c>
      <c r="D22" s="97">
        <f>'Plotting Points'!N30</f>
        <v>6.1733956344614323E-2</v>
      </c>
      <c r="E22" s="79">
        <f t="shared" si="10"/>
        <v>1.6254311776972979E-2</v>
      </c>
      <c r="F22" s="88">
        <f t="shared" si="6"/>
        <v>2.0408498054241906</v>
      </c>
      <c r="G22" s="79">
        <f t="shared" si="7"/>
        <v>4.7829644567641341E-2</v>
      </c>
      <c r="H22" s="95">
        <f t="shared" si="8"/>
        <v>1.3904311776972982E-2</v>
      </c>
      <c r="I22" s="98">
        <f t="shared" si="9"/>
        <v>22.522955922921334</v>
      </c>
      <c r="K22" s="53" t="s">
        <v>87</v>
      </c>
      <c r="L22" s="104">
        <f>ROUND(IF(L20&gt;1,1/L20,1),4)</f>
        <v>0.9768</v>
      </c>
      <c r="M22" s="104"/>
      <c r="N22" s="102"/>
    </row>
    <row r="23" spans="1:30" x14ac:dyDescent="0.2">
      <c r="K23" s="53" t="s">
        <v>148</v>
      </c>
      <c r="L23" s="104">
        <f>L21*L22</f>
        <v>0.9768</v>
      </c>
    </row>
    <row r="24" spans="1:30" x14ac:dyDescent="0.2">
      <c r="D24" s="53" t="s">
        <v>83</v>
      </c>
      <c r="E24" s="105">
        <f>ROUND(MEDIAN(E9:E22),5)</f>
        <v>2.3500000000000001E-3</v>
      </c>
      <c r="F24" s="106">
        <f>ROUND(MEDIAN(F9:F22),3)</f>
        <v>1.5589999999999999</v>
      </c>
      <c r="K24" s="53" t="s">
        <v>85</v>
      </c>
      <c r="L24" s="101">
        <f>ROUND(SQRT(L23)/L17,3)</f>
        <v>0.63200000000000001</v>
      </c>
      <c r="M24" s="101">
        <f>ABS((SQRT(L23)/(L17-M17))-(SQRT(L23)/(L17+M17)))</f>
        <v>0.14591645798205277</v>
      </c>
      <c r="N24" s="102">
        <f>100*M24/L24</f>
        <v>23.088047149058983</v>
      </c>
    </row>
    <row r="25" spans="1:30" x14ac:dyDescent="0.2">
      <c r="D25" s="53" t="s">
        <v>107</v>
      </c>
      <c r="E25" s="105">
        <f>ROUND(0.5*(QUARTILE(E9:E22,3)-QUARTILE(E9:E22,1)),5)</f>
        <v>1.9400000000000001E-3</v>
      </c>
      <c r="F25" s="106">
        <f>ROUND(0.5*(QUARTILE(F9:F22,3)-QUARTILE(F9:F22,1)),3)</f>
        <v>0.17799999999999999</v>
      </c>
    </row>
    <row r="26" spans="1:30" x14ac:dyDescent="0.2">
      <c r="D26" s="53" t="s">
        <v>88</v>
      </c>
      <c r="E26" s="107">
        <f>100*E25/E24</f>
        <v>82.553191489361694</v>
      </c>
      <c r="F26" s="107">
        <f>100*F25/F24</f>
        <v>11.417575368826171</v>
      </c>
    </row>
    <row r="27" spans="1:30" x14ac:dyDescent="0.2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</row>
    <row r="28" spans="1:30" x14ac:dyDescent="0.2">
      <c r="L28" s="108" t="s">
        <v>144</v>
      </c>
      <c r="M28" s="108" t="s">
        <v>144</v>
      </c>
      <c r="N28" s="108" t="s">
        <v>144</v>
      </c>
    </row>
    <row r="29" spans="1:30" x14ac:dyDescent="0.2">
      <c r="L29" s="108" t="s">
        <v>137</v>
      </c>
      <c r="M29" s="108" t="s">
        <v>138</v>
      </c>
      <c r="N29" s="108" t="s">
        <v>139</v>
      </c>
    </row>
    <row r="30" spans="1:30" x14ac:dyDescent="0.2">
      <c r="K30" s="108" t="s">
        <v>147</v>
      </c>
      <c r="L30" s="108" t="s">
        <v>140</v>
      </c>
      <c r="M30" s="108" t="s">
        <v>142</v>
      </c>
      <c r="N30" s="108" t="s">
        <v>143</v>
      </c>
    </row>
    <row r="31" spans="1:30" x14ac:dyDescent="0.2">
      <c r="K31" s="108" t="s">
        <v>145</v>
      </c>
      <c r="L31" s="108">
        <v>1</v>
      </c>
      <c r="M31" s="108">
        <v>1</v>
      </c>
      <c r="N31" s="108" t="s">
        <v>136</v>
      </c>
    </row>
    <row r="32" spans="1:30" x14ac:dyDescent="0.2">
      <c r="K32" s="108" t="s">
        <v>146</v>
      </c>
      <c r="L32" s="108" t="s">
        <v>141</v>
      </c>
      <c r="M32" s="108">
        <v>1</v>
      </c>
      <c r="N32" s="108">
        <v>1</v>
      </c>
    </row>
    <row r="33" spans="10:14" x14ac:dyDescent="0.2">
      <c r="L33" s="109"/>
      <c r="N33" s="79"/>
    </row>
    <row r="34" spans="10:14" x14ac:dyDescent="0.2">
      <c r="J34" s="110"/>
      <c r="L34" s="109"/>
      <c r="M34" s="53"/>
      <c r="N34" s="111"/>
    </row>
    <row r="35" spans="10:14" x14ac:dyDescent="0.2">
      <c r="M35" s="53"/>
      <c r="N35" s="111"/>
    </row>
    <row r="36" spans="10:14" x14ac:dyDescent="0.2">
      <c r="K36" s="79"/>
    </row>
  </sheetData>
  <printOptions gridLines="1"/>
  <pageMargins left="0.75" right="0.75" top="1" bottom="1" header="0.5" footer="0.5"/>
  <pageSetup orientation="landscape" horizontalDpi="4294967292" verticalDpi="300" r:id="rId1"/>
  <headerFooter alignWithMargins="0">
    <oddHeader>&amp;A</oddHeader>
    <oddFooter>&amp;F</oddFooter>
  </headerFooter>
  <colBreaks count="1" manualBreakCount="1">
    <brk id="14" max="3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0"/>
  <sheetViews>
    <sheetView workbookViewId="0">
      <selection activeCell="C2" sqref="C2"/>
    </sheetView>
  </sheetViews>
  <sheetFormatPr defaultColWidth="9.109375" defaultRowHeight="13.2" x14ac:dyDescent="0.25"/>
  <cols>
    <col min="1" max="1" width="7.33203125" style="19" customWidth="1"/>
    <col min="2" max="3" width="9.6640625" style="19" bestFit="1" customWidth="1"/>
    <col min="4" max="4" width="8.88671875" style="19" customWidth="1"/>
    <col min="5" max="5" width="9.6640625" style="19" customWidth="1"/>
    <col min="6" max="6" width="9.5546875" style="19" customWidth="1"/>
    <col min="7" max="7" width="8.6640625" style="19" customWidth="1"/>
    <col min="8" max="8" width="10.109375" style="19" customWidth="1"/>
    <col min="9" max="9" width="9.5546875" style="19" customWidth="1"/>
    <col min="10" max="10" width="9.6640625" style="19" customWidth="1"/>
    <col min="11" max="16384" width="9.109375" style="19"/>
  </cols>
  <sheetData>
    <row r="1" spans="1:13" x14ac:dyDescent="0.25">
      <c r="A1" s="18" t="s">
        <v>155</v>
      </c>
      <c r="D1" s="20"/>
      <c r="G1" s="21"/>
      <c r="H1" s="21"/>
      <c r="I1" s="22"/>
    </row>
    <row r="2" spans="1:13" x14ac:dyDescent="0.25">
      <c r="A2" s="12" t="s">
        <v>89</v>
      </c>
      <c r="B2" s="34">
        <f>'Plotting Points'!C2</f>
        <v>0</v>
      </c>
      <c r="D2" s="20"/>
      <c r="G2" s="23" t="s">
        <v>92</v>
      </c>
      <c r="H2" s="35">
        <f>'Plotting Points'!C4</f>
        <v>30181</v>
      </c>
      <c r="I2" s="36">
        <f>'Plotting Points'!D4</f>
        <v>1982.63</v>
      </c>
    </row>
    <row r="3" spans="1:13" x14ac:dyDescent="0.25">
      <c r="A3" s="12" t="s">
        <v>90</v>
      </c>
      <c r="B3" s="34" t="str">
        <f>'Plotting Points'!C3</f>
        <v>Male</v>
      </c>
      <c r="D3" s="20"/>
      <c r="G3" s="23" t="s">
        <v>93</v>
      </c>
      <c r="H3" s="35">
        <f>'Plotting Points'!C5</f>
        <v>33834</v>
      </c>
      <c r="I3" s="36">
        <f>'Plotting Points'!D5</f>
        <v>1992.63</v>
      </c>
    </row>
    <row r="4" spans="1:13" x14ac:dyDescent="0.25">
      <c r="A4" s="25"/>
      <c r="B4" s="25"/>
      <c r="C4" s="25"/>
      <c r="D4" s="25"/>
      <c r="E4" s="26"/>
      <c r="F4" s="25"/>
      <c r="G4" s="25"/>
      <c r="H4" s="25"/>
      <c r="I4" s="25"/>
    </row>
    <row r="5" spans="1:13" x14ac:dyDescent="0.25">
      <c r="G5" s="20" t="s">
        <v>62</v>
      </c>
      <c r="H5" s="20" t="s">
        <v>62</v>
      </c>
    </row>
    <row r="6" spans="1:13" x14ac:dyDescent="0.25">
      <c r="E6" s="20" t="s">
        <v>62</v>
      </c>
      <c r="F6" s="20" t="s">
        <v>62</v>
      </c>
      <c r="G6" s="20" t="s">
        <v>63</v>
      </c>
      <c r="H6" s="19" t="s">
        <v>35</v>
      </c>
      <c r="I6" s="20" t="s">
        <v>62</v>
      </c>
      <c r="K6" s="20"/>
      <c r="L6" s="20"/>
      <c r="M6" s="20"/>
    </row>
    <row r="7" spans="1:13" x14ac:dyDescent="0.25">
      <c r="B7" s="20" t="s">
        <v>91</v>
      </c>
      <c r="C7" s="20" t="s">
        <v>91</v>
      </c>
      <c r="D7" s="20" t="s">
        <v>63</v>
      </c>
      <c r="E7" s="20" t="s">
        <v>50</v>
      </c>
      <c r="F7" s="20" t="s">
        <v>50</v>
      </c>
      <c r="G7" s="20" t="s">
        <v>64</v>
      </c>
      <c r="H7" s="20" t="s">
        <v>49</v>
      </c>
      <c r="I7" s="19" t="s">
        <v>35</v>
      </c>
      <c r="K7" s="20"/>
      <c r="L7" s="20"/>
      <c r="M7" s="20"/>
    </row>
    <row r="8" spans="1:13" x14ac:dyDescent="0.25">
      <c r="A8" s="20" t="s">
        <v>0</v>
      </c>
      <c r="B8" s="20" t="s">
        <v>50</v>
      </c>
      <c r="C8" s="20" t="s">
        <v>50</v>
      </c>
      <c r="D8" s="20" t="s">
        <v>64</v>
      </c>
      <c r="E8" s="24">
        <f>I2</f>
        <v>1982.63</v>
      </c>
      <c r="F8" s="24">
        <f>I3</f>
        <v>1992.63</v>
      </c>
      <c r="G8" s="20" t="s">
        <v>17</v>
      </c>
      <c r="H8" s="23" t="s">
        <v>103</v>
      </c>
      <c r="I8" s="20" t="s">
        <v>55</v>
      </c>
      <c r="K8" s="20"/>
      <c r="L8" s="23"/>
      <c r="M8" s="20"/>
    </row>
    <row r="9" spans="1:13" x14ac:dyDescent="0.25">
      <c r="A9" s="20" t="s">
        <v>1</v>
      </c>
      <c r="B9" s="24">
        <f>I2</f>
        <v>1982.63</v>
      </c>
      <c r="C9" s="24">
        <f>I3</f>
        <v>1992.63</v>
      </c>
      <c r="D9" s="20" t="s">
        <v>17</v>
      </c>
      <c r="E9" s="50">
        <f>'Fitting Straight Line'!L21</f>
        <v>1</v>
      </c>
      <c r="F9" s="50">
        <f>'Fitting Straight Line'!L22</f>
        <v>0.9768</v>
      </c>
      <c r="G9" s="48">
        <f>'Fitting Straight Line'!L24</f>
        <v>0.63200000000000001</v>
      </c>
      <c r="H9" s="24" t="s">
        <v>104</v>
      </c>
      <c r="I9" s="20" t="s">
        <v>18</v>
      </c>
      <c r="K9" s="20"/>
      <c r="L9" s="23"/>
      <c r="M9" s="20"/>
    </row>
    <row r="10" spans="1:13" x14ac:dyDescent="0.25">
      <c r="A10" s="13" t="s">
        <v>20</v>
      </c>
      <c r="B10" s="13" t="s">
        <v>21</v>
      </c>
      <c r="C10" s="13" t="s">
        <v>22</v>
      </c>
      <c r="D10" s="13" t="s">
        <v>23</v>
      </c>
      <c r="E10" s="13" t="s">
        <v>24</v>
      </c>
      <c r="F10" s="27" t="s">
        <v>25</v>
      </c>
      <c r="G10" s="27" t="s">
        <v>26</v>
      </c>
      <c r="H10" s="27" t="s">
        <v>27</v>
      </c>
      <c r="I10" s="27" t="s">
        <v>28</v>
      </c>
      <c r="J10" s="27"/>
    </row>
    <row r="11" spans="1:13" x14ac:dyDescent="0.25">
      <c r="E11" s="28"/>
    </row>
    <row r="12" spans="1:13" x14ac:dyDescent="0.25">
      <c r="A12" s="20" t="s">
        <v>2</v>
      </c>
      <c r="B12" s="33">
        <f>'Plotting Points'!C16</f>
        <v>644716</v>
      </c>
      <c r="C12" s="33">
        <f>'Plotting Points'!D16</f>
        <v>791447</v>
      </c>
      <c r="D12" s="33">
        <f>'Plotting Points'!E16</f>
        <v>46743.18</v>
      </c>
      <c r="E12" s="49">
        <f>ROUND(B12/'Fitting Straight Line'!$L$21,0)</f>
        <v>644716</v>
      </c>
      <c r="F12" s="49">
        <f>ROUND(C12/'Fitting Straight Line'!$L$22,0)</f>
        <v>810245</v>
      </c>
      <c r="G12" s="49">
        <f>ROUND(D12/'Fitting Straight Line'!$L$24,0)</f>
        <v>73961</v>
      </c>
      <c r="H12" s="28">
        <f t="shared" ref="H12:H27" si="0">SQRT(E12*F12)*($I$3-$I$2)</f>
        <v>7227571.621367719</v>
      </c>
      <c r="I12" s="32">
        <f t="shared" ref="I12:I27" si="1">ROUND(G12/H12,6)</f>
        <v>1.0233000000000001E-2</v>
      </c>
      <c r="K12" s="28"/>
      <c r="L12" s="29"/>
      <c r="M12" s="29"/>
    </row>
    <row r="13" spans="1:13" x14ac:dyDescent="0.25">
      <c r="A13" s="27" t="s">
        <v>3</v>
      </c>
      <c r="B13" s="33">
        <f>'Plotting Points'!C17</f>
        <v>614081</v>
      </c>
      <c r="C13" s="33">
        <f>'Plotting Points'!D17</f>
        <v>823904</v>
      </c>
      <c r="D13" s="33">
        <f>'Plotting Points'!E17</f>
        <v>3101.29</v>
      </c>
      <c r="E13" s="49">
        <f>ROUND(B13/'Fitting Straight Line'!$L$21,0)</f>
        <v>614081</v>
      </c>
      <c r="F13" s="49">
        <f>ROUND(C13/'Fitting Straight Line'!$L$22,0)</f>
        <v>843473</v>
      </c>
      <c r="G13" s="49">
        <f>ROUND(D13/'Fitting Straight Line'!$L$24,0)</f>
        <v>4907</v>
      </c>
      <c r="H13" s="28">
        <f t="shared" si="0"/>
        <v>7196948.9598926576</v>
      </c>
      <c r="I13" s="32">
        <f t="shared" si="1"/>
        <v>6.8199999999999999E-4</v>
      </c>
      <c r="K13" s="28"/>
      <c r="L13" s="30"/>
      <c r="M13" s="31"/>
    </row>
    <row r="14" spans="1:13" x14ac:dyDescent="0.25">
      <c r="A14" s="27" t="s">
        <v>4</v>
      </c>
      <c r="B14" s="33">
        <f>'Plotting Points'!C18</f>
        <v>530892</v>
      </c>
      <c r="C14" s="33">
        <f>'Plotting Points'!D18</f>
        <v>727187</v>
      </c>
      <c r="D14" s="33">
        <f>'Plotting Points'!E18</f>
        <v>2493.5700000000002</v>
      </c>
      <c r="E14" s="49">
        <f>ROUND(B14/'Fitting Straight Line'!$L$21,0)</f>
        <v>530892</v>
      </c>
      <c r="F14" s="49">
        <f>ROUND(C14/'Fitting Straight Line'!$L$22,0)</f>
        <v>744458</v>
      </c>
      <c r="G14" s="49">
        <f>ROUND(D14/'Fitting Straight Line'!$L$24,0)</f>
        <v>3946</v>
      </c>
      <c r="H14" s="28">
        <f t="shared" si="0"/>
        <v>6286706.5824324908</v>
      </c>
      <c r="I14" s="32">
        <f t="shared" si="1"/>
        <v>6.2799999999999998E-4</v>
      </c>
      <c r="K14" s="28"/>
      <c r="L14" s="30"/>
      <c r="M14" s="31"/>
    </row>
    <row r="15" spans="1:13" x14ac:dyDescent="0.25">
      <c r="A15" s="27" t="s">
        <v>5</v>
      </c>
      <c r="B15" s="33">
        <f>'Plotting Points'!C19</f>
        <v>391001</v>
      </c>
      <c r="C15" s="33">
        <f>'Plotting Points'!D19</f>
        <v>617666</v>
      </c>
      <c r="D15" s="33">
        <f>'Plotting Points'!E19</f>
        <v>3652.04</v>
      </c>
      <c r="E15" s="49">
        <f>ROUND(B15/'Fitting Straight Line'!$L$21,0)</f>
        <v>391001</v>
      </c>
      <c r="F15" s="49">
        <f>ROUND(C15/'Fitting Straight Line'!$L$22,0)</f>
        <v>632336</v>
      </c>
      <c r="G15" s="49">
        <f>ROUND(D15/'Fitting Straight Line'!$L$24,0)</f>
        <v>5779</v>
      </c>
      <c r="H15" s="28">
        <f t="shared" si="0"/>
        <v>4972363.7068903157</v>
      </c>
      <c r="I15" s="32">
        <f t="shared" si="1"/>
        <v>1.1620000000000001E-3</v>
      </c>
      <c r="K15" s="28"/>
      <c r="L15" s="30"/>
      <c r="M15" s="31"/>
    </row>
    <row r="16" spans="1:13" x14ac:dyDescent="0.25">
      <c r="A16" s="27" t="s">
        <v>6</v>
      </c>
      <c r="B16" s="33">
        <f>'Plotting Points'!C20</f>
        <v>291006</v>
      </c>
      <c r="C16" s="33">
        <f>'Plotting Points'!D20</f>
        <v>468307</v>
      </c>
      <c r="D16" s="33">
        <f>'Plotting Points'!E20</f>
        <v>5853.97</v>
      </c>
      <c r="E16" s="49">
        <f>ROUND(B16/'Fitting Straight Line'!$L$21,0)</f>
        <v>291006</v>
      </c>
      <c r="F16" s="49">
        <f>ROUND(C16/'Fitting Straight Line'!$L$22,0)</f>
        <v>479430</v>
      </c>
      <c r="G16" s="49">
        <f>ROUND(D16/'Fitting Straight Line'!$L$24,0)</f>
        <v>9263</v>
      </c>
      <c r="H16" s="28">
        <f t="shared" si="0"/>
        <v>3735197.539354512</v>
      </c>
      <c r="I16" s="32">
        <f t="shared" si="1"/>
        <v>2.48E-3</v>
      </c>
      <c r="K16" s="28"/>
      <c r="L16" s="30"/>
      <c r="M16" s="31"/>
    </row>
    <row r="17" spans="1:13" x14ac:dyDescent="0.25">
      <c r="A17" s="27" t="s">
        <v>7</v>
      </c>
      <c r="B17" s="33">
        <f>'Plotting Points'!C21</f>
        <v>243945</v>
      </c>
      <c r="C17" s="33">
        <f>'Plotting Points'!D21</f>
        <v>336770</v>
      </c>
      <c r="D17" s="33">
        <f>'Plotting Points'!E21</f>
        <v>8135.37</v>
      </c>
      <c r="E17" s="49">
        <f>ROUND(B17/'Fitting Straight Line'!$L$21,0)</f>
        <v>243945</v>
      </c>
      <c r="F17" s="49">
        <f>ROUND(C17/'Fitting Straight Line'!$L$22,0)</f>
        <v>344769</v>
      </c>
      <c r="G17" s="49">
        <f>ROUND(D17/'Fitting Straight Line'!$L$24,0)</f>
        <v>12872</v>
      </c>
      <c r="H17" s="28">
        <f t="shared" si="0"/>
        <v>2900080.5800011838</v>
      </c>
      <c r="I17" s="32">
        <f t="shared" si="1"/>
        <v>4.4380000000000001E-3</v>
      </c>
      <c r="K17" s="28"/>
      <c r="L17" s="30"/>
      <c r="M17" s="31"/>
    </row>
    <row r="18" spans="1:13" x14ac:dyDescent="0.25">
      <c r="A18" s="27" t="s">
        <v>8</v>
      </c>
      <c r="B18" s="33">
        <f>'Plotting Points'!C22</f>
        <v>185800</v>
      </c>
      <c r="C18" s="33">
        <f>'Plotting Points'!D22</f>
        <v>280948</v>
      </c>
      <c r="D18" s="33">
        <f>'Plotting Points'!E22</f>
        <v>9483.7900000000009</v>
      </c>
      <c r="E18" s="49">
        <f>ROUND(B18/'Fitting Straight Line'!$L$21,0)</f>
        <v>185800</v>
      </c>
      <c r="F18" s="49">
        <f>ROUND(C18/'Fitting Straight Line'!$L$22,0)</f>
        <v>287621</v>
      </c>
      <c r="G18" s="49">
        <f>ROUND(D18/'Fitting Straight Line'!$L$24,0)</f>
        <v>15006</v>
      </c>
      <c r="H18" s="28">
        <f t="shared" si="0"/>
        <v>2311708.9306398416</v>
      </c>
      <c r="I18" s="32">
        <f t="shared" si="1"/>
        <v>6.4910000000000002E-3</v>
      </c>
      <c r="K18" s="28"/>
      <c r="L18" s="30"/>
      <c r="M18" s="31"/>
    </row>
    <row r="19" spans="1:13" x14ac:dyDescent="0.25">
      <c r="A19" s="27" t="s">
        <v>9</v>
      </c>
      <c r="B19" s="33">
        <f>'Plotting Points'!C23</f>
        <v>148239</v>
      </c>
      <c r="C19" s="33">
        <f>'Plotting Points'!D23</f>
        <v>230082</v>
      </c>
      <c r="D19" s="33">
        <f>'Plotting Points'!E23</f>
        <v>8693.9699999999993</v>
      </c>
      <c r="E19" s="49">
        <f>ROUND(B19/'Fitting Straight Line'!$L$21,0)</f>
        <v>148239</v>
      </c>
      <c r="F19" s="49">
        <f>ROUND(C19/'Fitting Straight Line'!$L$22,0)</f>
        <v>235547</v>
      </c>
      <c r="G19" s="49">
        <f>ROUND(D19/'Fitting Straight Line'!$L$24,0)</f>
        <v>13756</v>
      </c>
      <c r="H19" s="28">
        <f t="shared" si="0"/>
        <v>1868615.8442280211</v>
      </c>
      <c r="I19" s="32">
        <f t="shared" si="1"/>
        <v>7.3619999999999996E-3</v>
      </c>
      <c r="K19" s="28"/>
      <c r="L19" s="30"/>
      <c r="M19" s="31"/>
    </row>
    <row r="20" spans="1:13" x14ac:dyDescent="0.25">
      <c r="A20" s="27" t="s">
        <v>10</v>
      </c>
      <c r="B20" s="33">
        <f>'Plotting Points'!C24</f>
        <v>142356</v>
      </c>
      <c r="C20" s="33">
        <f>'Plotting Points'!D24</f>
        <v>174815</v>
      </c>
      <c r="D20" s="33">
        <f>'Plotting Points'!E24</f>
        <v>8485.65</v>
      </c>
      <c r="E20" s="49">
        <f>ROUND(B20/'Fitting Straight Line'!$L$21,0)</f>
        <v>142356</v>
      </c>
      <c r="F20" s="49">
        <f>ROUND(C20/'Fitting Straight Line'!$L$22,0)</f>
        <v>178967</v>
      </c>
      <c r="G20" s="49">
        <f>ROUND(D20/'Fitting Straight Line'!$L$24,0)</f>
        <v>13427</v>
      </c>
      <c r="H20" s="28">
        <f t="shared" si="0"/>
        <v>1596152.4442232954</v>
      </c>
      <c r="I20" s="32">
        <f t="shared" si="1"/>
        <v>8.4119999999999993E-3</v>
      </c>
      <c r="K20" s="28"/>
      <c r="L20" s="30"/>
      <c r="M20" s="31"/>
    </row>
    <row r="21" spans="1:13" x14ac:dyDescent="0.25">
      <c r="A21" s="27" t="s">
        <v>11</v>
      </c>
      <c r="B21" s="33">
        <f>'Plotting Points'!C25</f>
        <v>116741</v>
      </c>
      <c r="C21" s="33">
        <f>'Plotting Points'!D25</f>
        <v>145895</v>
      </c>
      <c r="D21" s="33">
        <f>'Plotting Points'!E25</f>
        <v>8580.4500000000007</v>
      </c>
      <c r="E21" s="49">
        <f>ROUND(B21/'Fitting Straight Line'!$L$21,0)</f>
        <v>116741</v>
      </c>
      <c r="F21" s="49">
        <f>ROUND(C21/'Fitting Straight Line'!$L$22,0)</f>
        <v>149360</v>
      </c>
      <c r="G21" s="49">
        <f>ROUND(D21/'Fitting Straight Line'!$L$24,0)</f>
        <v>13577</v>
      </c>
      <c r="H21" s="28">
        <f t="shared" si="0"/>
        <v>1320470.9674960673</v>
      </c>
      <c r="I21" s="32">
        <f t="shared" si="1"/>
        <v>1.0281999999999999E-2</v>
      </c>
      <c r="K21" s="28"/>
      <c r="L21" s="30"/>
      <c r="M21" s="31"/>
    </row>
    <row r="22" spans="1:13" x14ac:dyDescent="0.25">
      <c r="A22" s="27" t="s">
        <v>12</v>
      </c>
      <c r="B22" s="33">
        <f>'Plotting Points'!C26</f>
        <v>112021</v>
      </c>
      <c r="C22" s="33">
        <f>'Plotting Points'!D26</f>
        <v>133680</v>
      </c>
      <c r="D22" s="33">
        <f>'Plotting Points'!E26</f>
        <v>11717.1</v>
      </c>
      <c r="E22" s="49">
        <f>ROUND(B22/'Fitting Straight Line'!$L$21,0)</f>
        <v>112021</v>
      </c>
      <c r="F22" s="49">
        <f>ROUND(C22/'Fitting Straight Line'!$L$22,0)</f>
        <v>136855</v>
      </c>
      <c r="G22" s="49">
        <f>ROUND(D22/'Fitting Straight Line'!$L$24,0)</f>
        <v>18540</v>
      </c>
      <c r="H22" s="28">
        <f t="shared" si="0"/>
        <v>1238169.3727031047</v>
      </c>
      <c r="I22" s="32">
        <f t="shared" si="1"/>
        <v>1.4973999999999999E-2</v>
      </c>
      <c r="K22" s="28"/>
      <c r="L22" s="30"/>
      <c r="M22" s="31"/>
    </row>
    <row r="23" spans="1:13" x14ac:dyDescent="0.25">
      <c r="A23" s="27" t="s">
        <v>13</v>
      </c>
      <c r="B23" s="33">
        <f>'Plotting Points'!C27</f>
        <v>67545</v>
      </c>
      <c r="C23" s="33">
        <f>'Plotting Points'!D27</f>
        <v>95011</v>
      </c>
      <c r="D23" s="33">
        <f>'Plotting Points'!E27</f>
        <v>10344.719999999999</v>
      </c>
      <c r="E23" s="49">
        <f>ROUND(B23/'Fitting Straight Line'!$L$21,0)</f>
        <v>67545</v>
      </c>
      <c r="F23" s="49">
        <f>ROUND(C23/'Fitting Straight Line'!$L$22,0)</f>
        <v>97268</v>
      </c>
      <c r="G23" s="49">
        <f>ROUND(D23/'Fitting Straight Line'!$L$24,0)</f>
        <v>16368</v>
      </c>
      <c r="H23" s="28">
        <f t="shared" si="0"/>
        <v>810553.33322366886</v>
      </c>
      <c r="I23" s="32">
        <f t="shared" si="1"/>
        <v>2.0194E-2</v>
      </c>
      <c r="K23" s="28"/>
      <c r="L23" s="30"/>
      <c r="M23" s="31"/>
    </row>
    <row r="24" spans="1:13" x14ac:dyDescent="0.25">
      <c r="A24" s="27" t="s">
        <v>14</v>
      </c>
      <c r="B24" s="33">
        <f>'Plotting Points'!C28</f>
        <v>77016</v>
      </c>
      <c r="C24" s="33">
        <f>'Plotting Points'!D28</f>
        <v>95811</v>
      </c>
      <c r="D24" s="33">
        <f>'Plotting Points'!E28</f>
        <v>15025.25</v>
      </c>
      <c r="E24" s="49">
        <f>ROUND(B24/'Fitting Straight Line'!$L$21,0)</f>
        <v>77016</v>
      </c>
      <c r="F24" s="49">
        <f>ROUND(C24/'Fitting Straight Line'!$L$22,0)</f>
        <v>98087</v>
      </c>
      <c r="G24" s="49">
        <f>ROUND(D24/'Fitting Straight Line'!$L$24,0)</f>
        <v>23774</v>
      </c>
      <c r="H24" s="28">
        <f t="shared" si="0"/>
        <v>869152.9435030407</v>
      </c>
      <c r="I24" s="32">
        <f t="shared" si="1"/>
        <v>2.7352999999999999E-2</v>
      </c>
      <c r="K24" s="28"/>
      <c r="L24" s="30"/>
      <c r="M24" s="31"/>
    </row>
    <row r="25" spans="1:13" x14ac:dyDescent="0.25">
      <c r="A25" s="27" t="s">
        <v>15</v>
      </c>
      <c r="B25" s="33">
        <f>'Plotting Points'!C29</f>
        <v>38894</v>
      </c>
      <c r="C25" s="33">
        <f>'Plotting Points'!D29</f>
        <v>51363</v>
      </c>
      <c r="D25" s="33">
        <f>'Plotting Points'!E29</f>
        <v>11024.41</v>
      </c>
      <c r="E25" s="49">
        <f>ROUND(B25/'Fitting Straight Line'!$L$21,0)</f>
        <v>38894</v>
      </c>
      <c r="F25" s="49">
        <f>ROUND(C25/'Fitting Straight Line'!$L$22,0)</f>
        <v>52583</v>
      </c>
      <c r="G25" s="49">
        <f>ROUND(D25/'Fitting Straight Line'!$L$24,0)</f>
        <v>17444</v>
      </c>
      <c r="H25" s="28">
        <f t="shared" si="0"/>
        <v>452234.80648884154</v>
      </c>
      <c r="I25" s="32">
        <f t="shared" si="1"/>
        <v>3.8573000000000003E-2</v>
      </c>
      <c r="K25" s="28"/>
      <c r="L25" s="30"/>
      <c r="M25" s="31"/>
    </row>
    <row r="26" spans="1:13" x14ac:dyDescent="0.25">
      <c r="A26" s="27" t="s">
        <v>16</v>
      </c>
      <c r="B26" s="33">
        <f>'Plotting Points'!C30</f>
        <v>29874</v>
      </c>
      <c r="C26" s="33">
        <f>'Plotting Points'!D30</f>
        <v>58462</v>
      </c>
      <c r="D26" s="33">
        <f>'Plotting Points'!E30</f>
        <v>12145.24</v>
      </c>
      <c r="E26" s="49">
        <f>ROUND(B26/'Fitting Straight Line'!$L$21,0)</f>
        <v>29874</v>
      </c>
      <c r="F26" s="49">
        <f>ROUND(C26/'Fitting Straight Line'!$L$22,0)</f>
        <v>59851</v>
      </c>
      <c r="G26" s="49">
        <f>ROUND(D26/'Fitting Straight Line'!$L$24,0)</f>
        <v>19217</v>
      </c>
      <c r="H26" s="28">
        <f t="shared" si="0"/>
        <v>422846.16280628589</v>
      </c>
      <c r="I26" s="32">
        <f t="shared" si="1"/>
        <v>4.5447000000000001E-2</v>
      </c>
      <c r="K26" s="28"/>
      <c r="L26" s="30"/>
      <c r="M26" s="31"/>
    </row>
    <row r="27" spans="1:13" x14ac:dyDescent="0.25">
      <c r="A27" s="27" t="s">
        <v>29</v>
      </c>
      <c r="B27" s="33">
        <f>'Plotting Points'!C31</f>
        <v>39495</v>
      </c>
      <c r="C27" s="33">
        <f>'Plotting Points'!D31</f>
        <v>52190</v>
      </c>
      <c r="D27" s="33">
        <f>'Plotting Points'!E31</f>
        <v>13347.73</v>
      </c>
      <c r="E27" s="49">
        <f>ROUND(B27/'Fitting Straight Line'!$L$21,0)</f>
        <v>39495</v>
      </c>
      <c r="F27" s="49">
        <f>ROUND(C27/'Fitting Straight Line'!$L$22,0)</f>
        <v>53430</v>
      </c>
      <c r="G27" s="49">
        <f>ROUND(D27/'Fitting Straight Line'!$L$24,0)</f>
        <v>21120</v>
      </c>
      <c r="H27" s="28">
        <f t="shared" si="0"/>
        <v>459371.07549344026</v>
      </c>
      <c r="I27" s="32">
        <f t="shared" si="1"/>
        <v>4.5976000000000003E-2</v>
      </c>
      <c r="K27" s="28"/>
      <c r="L27" s="30"/>
      <c r="M27" s="31"/>
    </row>
    <row r="28" spans="1:13" x14ac:dyDescent="0.25">
      <c r="A28" s="27"/>
      <c r="B28" s="33"/>
      <c r="C28" s="33"/>
      <c r="D28" s="33"/>
      <c r="E28" s="33"/>
      <c r="F28" s="33"/>
      <c r="G28" s="33"/>
      <c r="H28" s="28"/>
      <c r="I28" s="32"/>
      <c r="K28" s="28"/>
      <c r="L28" s="30"/>
      <c r="M28" s="31"/>
    </row>
    <row r="29" spans="1:13" x14ac:dyDescent="0.25">
      <c r="A29" s="27" t="s">
        <v>99</v>
      </c>
      <c r="B29" s="33">
        <f>SUM(B12:B27)</f>
        <v>3673622</v>
      </c>
      <c r="C29" s="33">
        <f t="shared" ref="C29:H29" si="2">SUM(C12:C27)</f>
        <v>5083538</v>
      </c>
      <c r="D29" s="33">
        <f t="shared" si="2"/>
        <v>178827.72999999998</v>
      </c>
      <c r="E29" s="49">
        <f t="shared" si="2"/>
        <v>3673622</v>
      </c>
      <c r="F29" s="49">
        <f t="shared" si="2"/>
        <v>5204280</v>
      </c>
      <c r="G29" s="49">
        <f t="shared" si="2"/>
        <v>282957</v>
      </c>
      <c r="H29" s="28">
        <f t="shared" si="2"/>
        <v>43668144.870744482</v>
      </c>
      <c r="I29" s="32"/>
      <c r="K29" s="28"/>
      <c r="L29" s="30"/>
      <c r="M29" s="31"/>
    </row>
    <row r="30" spans="1:13" x14ac:dyDescent="0.25">
      <c r="A30" s="25"/>
      <c r="B30" s="25"/>
      <c r="C30" s="25"/>
      <c r="D30" s="25"/>
      <c r="E30" s="26"/>
      <c r="F30" s="25"/>
      <c r="G30" s="25"/>
      <c r="H30" s="25"/>
      <c r="I30" s="25"/>
    </row>
  </sheetData>
  <printOptions gridLines="1"/>
  <pageMargins left="0.75" right="0.75" top="1" bottom="1" header="0.5" footer="0.5"/>
  <pageSetup orientation="landscape" horizontalDpi="4294967292" verticalDpi="300" r:id="rId1"/>
  <headerFooter alignWithMargins="0">
    <oddHeader>&amp;A</oddHead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94"/>
  <sheetViews>
    <sheetView workbookViewId="0">
      <selection activeCell="G2" sqref="G2"/>
    </sheetView>
  </sheetViews>
  <sheetFormatPr defaultRowHeight="13.2" x14ac:dyDescent="0.25"/>
  <cols>
    <col min="2" max="2" width="7.109375" customWidth="1"/>
    <col min="3" max="3" width="9.6640625" bestFit="1" customWidth="1"/>
    <col min="4" max="4" width="5.33203125" customWidth="1"/>
    <col min="5" max="6" width="9.6640625" customWidth="1"/>
    <col min="7" max="8" width="9.44140625" customWidth="1"/>
    <col min="9" max="13" width="5.6640625" customWidth="1"/>
  </cols>
  <sheetData>
    <row r="1" spans="1:17" x14ac:dyDescent="0.25">
      <c r="A1" s="10" t="s">
        <v>156</v>
      </c>
    </row>
    <row r="2" spans="1:17" x14ac:dyDescent="0.25">
      <c r="A2" s="11" t="s">
        <v>89</v>
      </c>
      <c r="B2" s="39">
        <f>'Plotting Points'!C2</f>
        <v>0</v>
      </c>
      <c r="D2" s="11"/>
      <c r="F2" s="11" t="s">
        <v>92</v>
      </c>
      <c r="G2" s="38">
        <f>'Plotting Points'!C4</f>
        <v>30181</v>
      </c>
      <c r="H2" s="37">
        <f>'Plotting Points'!D4</f>
        <v>1982.63</v>
      </c>
      <c r="P2" s="1"/>
      <c r="Q2" s="1"/>
    </row>
    <row r="3" spans="1:17" x14ac:dyDescent="0.25">
      <c r="A3" s="11" t="s">
        <v>90</v>
      </c>
      <c r="B3" s="39" t="str">
        <f>'Plotting Points'!C3</f>
        <v>Male</v>
      </c>
      <c r="D3" s="11"/>
      <c r="F3" s="11" t="s">
        <v>93</v>
      </c>
      <c r="G3" s="38">
        <f>'Plotting Points'!C5</f>
        <v>33834</v>
      </c>
      <c r="H3" s="37">
        <f>'Plotting Points'!D5</f>
        <v>1992.63</v>
      </c>
      <c r="P3" s="9"/>
      <c r="Q3" s="6"/>
    </row>
    <row r="4" spans="1:17" x14ac:dyDescent="0.25">
      <c r="A4" s="1" t="s">
        <v>67</v>
      </c>
      <c r="B4" s="17"/>
      <c r="C4" s="17"/>
      <c r="D4" s="15"/>
      <c r="E4" s="15"/>
      <c r="F4" s="15"/>
      <c r="G4" s="16"/>
      <c r="H4" s="15"/>
      <c r="I4" s="15"/>
      <c r="P4" s="9"/>
      <c r="Q4" s="6"/>
    </row>
    <row r="5" spans="1:17" x14ac:dyDescent="0.25">
      <c r="A5" s="1" t="s">
        <v>55</v>
      </c>
      <c r="C5" s="1" t="s">
        <v>62</v>
      </c>
      <c r="D5" s="1"/>
      <c r="P5" s="9"/>
      <c r="Q5" s="6"/>
    </row>
    <row r="6" spans="1:17" x14ac:dyDescent="0.25">
      <c r="A6" s="1" t="s">
        <v>18</v>
      </c>
      <c r="B6" s="1" t="s">
        <v>0</v>
      </c>
      <c r="C6" s="1" t="s">
        <v>55</v>
      </c>
      <c r="D6" s="1" t="s">
        <v>0</v>
      </c>
      <c r="E6" s="1"/>
      <c r="M6" s="1"/>
      <c r="P6" s="9"/>
      <c r="Q6" s="6"/>
    </row>
    <row r="7" spans="1:17" x14ac:dyDescent="0.25">
      <c r="A7" s="40" t="s">
        <v>98</v>
      </c>
      <c r="B7" s="1" t="s">
        <v>1</v>
      </c>
      <c r="C7" s="1" t="s">
        <v>18</v>
      </c>
      <c r="D7" s="1" t="s">
        <v>32</v>
      </c>
      <c r="E7" s="3" t="s">
        <v>68</v>
      </c>
      <c r="F7" s="3" t="s">
        <v>69</v>
      </c>
      <c r="G7" s="3" t="s">
        <v>70</v>
      </c>
      <c r="H7" s="3" t="s">
        <v>71</v>
      </c>
      <c r="I7" s="3" t="s">
        <v>72</v>
      </c>
      <c r="J7" s="3"/>
      <c r="K7" s="3"/>
      <c r="L7" s="3"/>
      <c r="M7" s="3"/>
      <c r="P7" s="9"/>
      <c r="Q7" s="6"/>
    </row>
    <row r="8" spans="1:17" x14ac:dyDescent="0.25">
      <c r="A8" s="41">
        <v>1</v>
      </c>
      <c r="B8" s="5" t="s">
        <v>20</v>
      </c>
      <c r="C8" s="5" t="s">
        <v>21</v>
      </c>
      <c r="D8" s="5" t="s">
        <v>22</v>
      </c>
      <c r="E8" s="5" t="s">
        <v>23</v>
      </c>
      <c r="F8" s="5" t="s">
        <v>24</v>
      </c>
      <c r="G8" s="5" t="s">
        <v>25</v>
      </c>
      <c r="H8" s="5" t="s">
        <v>26</v>
      </c>
      <c r="I8" s="5" t="s">
        <v>27</v>
      </c>
      <c r="J8" s="5"/>
      <c r="K8" s="5"/>
      <c r="L8" s="5"/>
      <c r="M8" s="5"/>
      <c r="N8" s="5"/>
      <c r="P8" s="9"/>
      <c r="Q8" s="6"/>
    </row>
    <row r="9" spans="1:17" x14ac:dyDescent="0.25">
      <c r="J9" s="5"/>
      <c r="P9" s="9"/>
      <c r="Q9" s="6"/>
    </row>
    <row r="10" spans="1:17" x14ac:dyDescent="0.25">
      <c r="A10" s="42">
        <f>Adjusting!I12</f>
        <v>1.0233000000000001E-2</v>
      </c>
      <c r="B10" s="1" t="s">
        <v>2</v>
      </c>
      <c r="C10" s="43">
        <f t="shared" ref="C10:C25" si="0">A10*A$8</f>
        <v>1.0233000000000001E-2</v>
      </c>
      <c r="D10" s="1">
        <v>0</v>
      </c>
      <c r="E10" s="1" t="s">
        <v>19</v>
      </c>
      <c r="F10" s="1" t="s">
        <v>19</v>
      </c>
      <c r="G10" s="1" t="s">
        <v>19</v>
      </c>
      <c r="H10" s="1" t="s">
        <v>19</v>
      </c>
      <c r="I10" s="1" t="s">
        <v>19</v>
      </c>
      <c r="J10" s="1"/>
      <c r="K10" s="1"/>
      <c r="L10" s="1"/>
      <c r="M10" s="8"/>
      <c r="P10" s="9"/>
      <c r="Q10" s="6"/>
    </row>
    <row r="11" spans="1:17" x14ac:dyDescent="0.25">
      <c r="A11" s="42">
        <f>Adjusting!I13</f>
        <v>6.8199999999999999E-4</v>
      </c>
      <c r="B11" s="2" t="s">
        <v>3</v>
      </c>
      <c r="C11" s="43">
        <f t="shared" si="0"/>
        <v>6.8199999999999999E-4</v>
      </c>
      <c r="D11" s="2" t="s">
        <v>65</v>
      </c>
      <c r="E11" s="44">
        <f t="shared" ref="E11:E24" si="1">(5*C11)/(1-2.5*C11)</f>
        <v>3.4158239798857048E-3</v>
      </c>
      <c r="F11" s="44">
        <v>1</v>
      </c>
      <c r="G11" s="7">
        <f t="shared" ref="G11:G23" si="2">(5/2)*SUM(F11:F12)</f>
        <v>4.991460440050286</v>
      </c>
      <c r="H11" s="4">
        <f>$H$25+SUM(G11:$G$24)</f>
        <v>59.569398990772534</v>
      </c>
      <c r="I11" s="14">
        <f t="shared" ref="I11:I24" si="3">H11/F11</f>
        <v>59.569398990772534</v>
      </c>
      <c r="J11" s="14"/>
      <c r="K11" s="14"/>
      <c r="L11" s="14"/>
      <c r="M11" s="8"/>
      <c r="P11" s="9"/>
      <c r="Q11" s="6"/>
    </row>
    <row r="12" spans="1:17" x14ac:dyDescent="0.25">
      <c r="A12" s="42">
        <f>Adjusting!I14</f>
        <v>6.2799999999999998E-4</v>
      </c>
      <c r="B12" s="2" t="s">
        <v>4</v>
      </c>
      <c r="C12" s="43">
        <f t="shared" si="0"/>
        <v>6.2799999999999998E-4</v>
      </c>
      <c r="D12" s="2" t="s">
        <v>66</v>
      </c>
      <c r="E12" s="44">
        <f t="shared" si="1"/>
        <v>3.1449375519565716E-3</v>
      </c>
      <c r="F12" s="44">
        <f t="shared" ref="F12:F25" si="4">F11*(1-E11)</f>
        <v>0.99658417602011429</v>
      </c>
      <c r="G12" s="7">
        <f t="shared" si="2"/>
        <v>4.9750853926034431</v>
      </c>
      <c r="H12" s="4">
        <f>$H$25+SUM(G12:$G$24)</f>
        <v>54.577938550722244</v>
      </c>
      <c r="I12" s="14">
        <f t="shared" si="3"/>
        <v>54.765006172063366</v>
      </c>
      <c r="J12" s="14"/>
      <c r="K12" s="14"/>
      <c r="L12" s="14"/>
      <c r="M12" s="8"/>
      <c r="P12" s="9"/>
      <c r="Q12" s="6"/>
    </row>
    <row r="13" spans="1:17" x14ac:dyDescent="0.25">
      <c r="A13" s="42">
        <f>Adjusting!I15</f>
        <v>1.1620000000000001E-3</v>
      </c>
      <c r="B13" s="2" t="s">
        <v>5</v>
      </c>
      <c r="C13" s="43">
        <f t="shared" si="0"/>
        <v>1.1620000000000001E-3</v>
      </c>
      <c r="D13" s="1">
        <v>15</v>
      </c>
      <c r="E13" s="44">
        <f t="shared" si="1"/>
        <v>5.8269272235845137E-3</v>
      </c>
      <c r="F13" s="44">
        <f t="shared" si="4"/>
        <v>0.99344998102126292</v>
      </c>
      <c r="G13" s="7">
        <f t="shared" si="2"/>
        <v>4.9527780032571087</v>
      </c>
      <c r="H13" s="4">
        <f>$H$25+SUM(G13:$G$24)</f>
        <v>49.602853158118812</v>
      </c>
      <c r="I13" s="14">
        <f t="shared" si="3"/>
        <v>49.929894917434353</v>
      </c>
      <c r="J13" s="14"/>
      <c r="K13" s="14"/>
      <c r="L13" s="14"/>
      <c r="M13" s="8"/>
      <c r="P13" s="9"/>
      <c r="Q13" s="6"/>
    </row>
    <row r="14" spans="1:17" x14ac:dyDescent="0.25">
      <c r="A14" s="42">
        <f>Adjusting!I16</f>
        <v>2.48E-3</v>
      </c>
      <c r="B14" s="2" t="s">
        <v>6</v>
      </c>
      <c r="C14" s="43">
        <f t="shared" si="0"/>
        <v>2.48E-3</v>
      </c>
      <c r="D14" s="2" t="s">
        <v>73</v>
      </c>
      <c r="E14" s="44">
        <f t="shared" si="1"/>
        <v>1.2477359629704166E-2</v>
      </c>
      <c r="F14" s="44">
        <f t="shared" si="4"/>
        <v>0.98766122028158065</v>
      </c>
      <c r="G14" s="7">
        <f t="shared" si="2"/>
        <v>4.907497590813489</v>
      </c>
      <c r="H14" s="4">
        <f>$H$25+SUM(G14:$G$24)</f>
        <v>44.650075154861703</v>
      </c>
      <c r="I14" s="14">
        <f t="shared" si="3"/>
        <v>45.207885293027942</v>
      </c>
      <c r="J14" s="14"/>
      <c r="K14" s="14"/>
      <c r="L14" s="14"/>
      <c r="M14" s="8"/>
      <c r="P14" s="9"/>
      <c r="Q14" s="6"/>
    </row>
    <row r="15" spans="1:17" x14ac:dyDescent="0.25">
      <c r="A15" s="42">
        <f>Adjusting!I17</f>
        <v>4.4380000000000001E-3</v>
      </c>
      <c r="B15" s="2" t="s">
        <v>7</v>
      </c>
      <c r="C15" s="43">
        <f t="shared" si="0"/>
        <v>4.4380000000000001E-3</v>
      </c>
      <c r="D15" s="2" t="s">
        <v>74</v>
      </c>
      <c r="E15" s="44">
        <f t="shared" si="1"/>
        <v>2.2438960264130527E-2</v>
      </c>
      <c r="F15" s="44">
        <f t="shared" si="4"/>
        <v>0.97533781604381486</v>
      </c>
      <c r="G15" s="7">
        <f t="shared" si="2"/>
        <v>4.8219751639732964</v>
      </c>
      <c r="H15" s="4">
        <f>$H$25+SUM(G15:$G$24)</f>
        <v>39.742577564048212</v>
      </c>
      <c r="I15" s="14">
        <f t="shared" si="3"/>
        <v>40.747499902395731</v>
      </c>
      <c r="J15" s="14"/>
      <c r="K15" s="14"/>
      <c r="L15" s="14"/>
      <c r="M15" s="8"/>
      <c r="P15" s="9"/>
      <c r="Q15" s="6"/>
    </row>
    <row r="16" spans="1:17" x14ac:dyDescent="0.25">
      <c r="A16" s="42">
        <f>Adjusting!I18</f>
        <v>6.4910000000000002E-3</v>
      </c>
      <c r="B16" s="2" t="s">
        <v>8</v>
      </c>
      <c r="C16" s="43">
        <f t="shared" si="0"/>
        <v>6.4910000000000002E-3</v>
      </c>
      <c r="D16" s="1">
        <v>30</v>
      </c>
      <c r="E16" s="44">
        <f t="shared" si="1"/>
        <v>3.2990350919546947E-2</v>
      </c>
      <c r="F16" s="44">
        <f t="shared" si="4"/>
        <v>0.95345224954550389</v>
      </c>
      <c r="G16" s="7">
        <f t="shared" si="2"/>
        <v>4.6886244369836758</v>
      </c>
      <c r="H16" s="4">
        <f>$H$25+SUM(G16:$G$24)</f>
        <v>34.920602400074905</v>
      </c>
      <c r="I16" s="14">
        <f t="shared" si="3"/>
        <v>36.62543396034885</v>
      </c>
      <c r="J16" s="14"/>
      <c r="K16" s="14"/>
      <c r="L16" s="14"/>
      <c r="M16" s="8"/>
      <c r="P16" s="9"/>
      <c r="Q16" s="6"/>
    </row>
    <row r="17" spans="1:13" x14ac:dyDescent="0.25">
      <c r="A17" s="42">
        <f>Adjusting!I19</f>
        <v>7.3619999999999996E-3</v>
      </c>
      <c r="B17" s="2" t="s">
        <v>9</v>
      </c>
      <c r="C17" s="43">
        <f t="shared" si="0"/>
        <v>7.3619999999999996E-3</v>
      </c>
      <c r="D17" s="2" t="s">
        <v>75</v>
      </c>
      <c r="E17" s="44">
        <f t="shared" si="1"/>
        <v>3.7500191015642906E-2</v>
      </c>
      <c r="F17" s="44">
        <f t="shared" si="4"/>
        <v>0.9219975252479663</v>
      </c>
      <c r="G17" s="7">
        <f t="shared" si="2"/>
        <v>4.5235499179579595</v>
      </c>
      <c r="H17" s="4">
        <f>$H$25+SUM(G17:$G$24)</f>
        <v>30.231977963091232</v>
      </c>
      <c r="I17" s="14">
        <f t="shared" si="3"/>
        <v>32.789651962417693</v>
      </c>
      <c r="J17" s="14"/>
      <c r="K17" s="14"/>
      <c r="L17" s="14"/>
      <c r="M17" s="8"/>
    </row>
    <row r="18" spans="1:13" x14ac:dyDescent="0.25">
      <c r="A18" s="42">
        <f>Adjusting!I20</f>
        <v>8.4119999999999993E-3</v>
      </c>
      <c r="B18" s="2" t="s">
        <v>10</v>
      </c>
      <c r="C18" s="43">
        <f t="shared" si="0"/>
        <v>8.4119999999999993E-3</v>
      </c>
      <c r="D18" s="2" t="s">
        <v>76</v>
      </c>
      <c r="E18" s="44">
        <f t="shared" si="1"/>
        <v>4.2963522886298865E-2</v>
      </c>
      <c r="F18" s="44">
        <f t="shared" si="4"/>
        <v>0.88742244193521747</v>
      </c>
      <c r="G18" s="7">
        <f t="shared" si="2"/>
        <v>4.3417952236913395</v>
      </c>
      <c r="H18" s="4">
        <f>$H$25+SUM(G18:$G$24)</f>
        <v>25.708428045133275</v>
      </c>
      <c r="I18" s="14">
        <f t="shared" si="3"/>
        <v>28.969774518064316</v>
      </c>
      <c r="J18" s="14"/>
      <c r="K18" s="14"/>
      <c r="L18" s="14"/>
      <c r="M18" s="8"/>
    </row>
    <row r="19" spans="1:13" x14ac:dyDescent="0.25">
      <c r="A19" s="42">
        <f>Adjusting!I21</f>
        <v>1.0281999999999999E-2</v>
      </c>
      <c r="B19" s="2" t="s">
        <v>11</v>
      </c>
      <c r="C19" s="43">
        <f t="shared" si="0"/>
        <v>1.0281999999999999E-2</v>
      </c>
      <c r="D19" s="1">
        <v>45</v>
      </c>
      <c r="E19" s="44">
        <f t="shared" si="1"/>
        <v>5.2766359264904361E-2</v>
      </c>
      <c r="F19" s="44">
        <f t="shared" si="4"/>
        <v>0.84929564754131848</v>
      </c>
      <c r="G19" s="7">
        <f t="shared" si="2"/>
        <v>4.1344426395558802</v>
      </c>
      <c r="H19" s="4">
        <f>$H$25+SUM(G19:$G$24)</f>
        <v>21.366632821441932</v>
      </c>
      <c r="I19" s="14">
        <f t="shared" si="3"/>
        <v>25.158062311160542</v>
      </c>
      <c r="J19" s="14"/>
      <c r="K19" s="14"/>
      <c r="L19" s="14"/>
      <c r="M19" s="8"/>
    </row>
    <row r="20" spans="1:13" x14ac:dyDescent="0.25">
      <c r="A20" s="42">
        <f>Adjusting!I22</f>
        <v>1.4973999999999999E-2</v>
      </c>
      <c r="B20" s="2" t="s">
        <v>12</v>
      </c>
      <c r="C20" s="43">
        <f t="shared" si="0"/>
        <v>1.4973999999999999E-2</v>
      </c>
      <c r="D20" s="2" t="s">
        <v>77</v>
      </c>
      <c r="E20" s="44">
        <f t="shared" si="1"/>
        <v>7.7781760192818142E-2</v>
      </c>
      <c r="F20" s="44">
        <f t="shared" si="4"/>
        <v>0.80448140828103365</v>
      </c>
      <c r="G20" s="7">
        <f t="shared" si="2"/>
        <v>3.8659720914589277</v>
      </c>
      <c r="H20" s="4">
        <f>$H$25+SUM(G20:$G$24)</f>
        <v>17.232190181886057</v>
      </c>
      <c r="I20" s="14">
        <f t="shared" si="3"/>
        <v>21.42024663902021</v>
      </c>
      <c r="J20" s="14"/>
      <c r="K20" s="14"/>
      <c r="L20" s="14"/>
      <c r="M20" s="8"/>
    </row>
    <row r="21" spans="1:13" x14ac:dyDescent="0.25">
      <c r="A21" s="42">
        <f>Adjusting!I23</f>
        <v>2.0194E-2</v>
      </c>
      <c r="B21" s="2" t="s">
        <v>13</v>
      </c>
      <c r="C21" s="43">
        <f t="shared" si="0"/>
        <v>2.0194E-2</v>
      </c>
      <c r="D21" s="2" t="s">
        <v>78</v>
      </c>
      <c r="E21" s="44">
        <f t="shared" si="1"/>
        <v>0.10633849912850245</v>
      </c>
      <c r="F21" s="44">
        <f t="shared" si="4"/>
        <v>0.74190742830253764</v>
      </c>
      <c r="G21" s="7">
        <f t="shared" si="2"/>
        <v>3.5123038354677409</v>
      </c>
      <c r="H21" s="4">
        <f>$H$25+SUM(G21:$G$24)</f>
        <v>13.366218090427131</v>
      </c>
      <c r="I21" s="14">
        <f t="shared" si="3"/>
        <v>18.0160186844451</v>
      </c>
      <c r="J21" s="14"/>
      <c r="K21" s="14"/>
      <c r="L21" s="14"/>
      <c r="M21" s="8"/>
    </row>
    <row r="22" spans="1:13" x14ac:dyDescent="0.25">
      <c r="A22" s="42">
        <f>Adjusting!I24</f>
        <v>2.7352999999999999E-2</v>
      </c>
      <c r="B22" s="2" t="s">
        <v>14</v>
      </c>
      <c r="C22" s="43">
        <f t="shared" si="0"/>
        <v>2.7352999999999999E-2</v>
      </c>
      <c r="D22" s="2" t="s">
        <v>79</v>
      </c>
      <c r="E22" s="44">
        <f t="shared" si="1"/>
        <v>0.14680381165016759</v>
      </c>
      <c r="F22" s="44">
        <f t="shared" si="4"/>
        <v>0.66301410588455878</v>
      </c>
      <c r="G22" s="7">
        <f t="shared" si="2"/>
        <v>3.0717380346185914</v>
      </c>
      <c r="H22" s="4">
        <f>$H$25+SUM(G22:$G$24)</f>
        <v>9.8539142549593883</v>
      </c>
      <c r="I22" s="14">
        <f t="shared" si="3"/>
        <v>14.862299561202866</v>
      </c>
      <c r="J22" s="14"/>
      <c r="K22" s="14"/>
      <c r="L22" s="14"/>
      <c r="M22" s="8"/>
    </row>
    <row r="23" spans="1:13" x14ac:dyDescent="0.25">
      <c r="A23" s="42">
        <f>Adjusting!I25</f>
        <v>3.8573000000000003E-2</v>
      </c>
      <c r="B23" s="2" t="s">
        <v>15</v>
      </c>
      <c r="C23" s="43">
        <f t="shared" si="0"/>
        <v>3.8573000000000003E-2</v>
      </c>
      <c r="D23" s="2" t="s">
        <v>80</v>
      </c>
      <c r="E23" s="44">
        <f t="shared" si="1"/>
        <v>0.21344835886638244</v>
      </c>
      <c r="F23" s="44">
        <f t="shared" si="4"/>
        <v>0.56568110796287774</v>
      </c>
      <c r="G23" s="7">
        <f t="shared" si="2"/>
        <v>2.5265462794734055</v>
      </c>
      <c r="H23" s="4">
        <f>$H$25+SUM(G23:$G$24)</f>
        <v>6.7821762203407978</v>
      </c>
      <c r="I23" s="14">
        <f t="shared" si="3"/>
        <v>11.98939848771805</v>
      </c>
      <c r="J23" s="14"/>
      <c r="K23" s="14"/>
      <c r="L23" s="14"/>
      <c r="M23" s="8"/>
    </row>
    <row r="24" spans="1:13" x14ac:dyDescent="0.25">
      <c r="A24" s="42">
        <f>Adjusting!I26</f>
        <v>4.5447000000000001E-2</v>
      </c>
      <c r="B24" s="2" t="s">
        <v>16</v>
      </c>
      <c r="C24" s="43">
        <f t="shared" si="0"/>
        <v>4.5447000000000001E-2</v>
      </c>
      <c r="D24" s="2" t="s">
        <v>81</v>
      </c>
      <c r="E24" s="44">
        <f t="shared" si="1"/>
        <v>0.25636223639343064</v>
      </c>
      <c r="F24" s="44">
        <f t="shared" si="4"/>
        <v>0.44493740382648456</v>
      </c>
      <c r="G24" s="7">
        <f>5*AVERAGE(F24:F25)</f>
        <v>1.9395241493823114</v>
      </c>
      <c r="H24" s="4">
        <f>$H$25+SUM(G24:$G$24)</f>
        <v>4.2556299408673919</v>
      </c>
      <c r="I24" s="14">
        <f t="shared" si="3"/>
        <v>9.5645587542624106</v>
      </c>
      <c r="J24" s="14"/>
      <c r="K24" s="14"/>
      <c r="L24" s="14"/>
      <c r="M24" s="8"/>
    </row>
    <row r="25" spans="1:13" x14ac:dyDescent="0.25">
      <c r="A25" s="42">
        <f>Adjusting!I27</f>
        <v>4.5976000000000003E-2</v>
      </c>
      <c r="B25" s="2" t="s">
        <v>29</v>
      </c>
      <c r="C25" s="43">
        <f t="shared" si="0"/>
        <v>4.5976000000000003E-2</v>
      </c>
      <c r="D25" s="2" t="s">
        <v>82</v>
      </c>
      <c r="E25" s="44">
        <v>1</v>
      </c>
      <c r="F25" s="44">
        <f t="shared" si="4"/>
        <v>0.33087225592644004</v>
      </c>
      <c r="G25" s="7" t="s">
        <v>19</v>
      </c>
      <c r="H25" s="7">
        <f>I25*F25</f>
        <v>2.3161057914850804</v>
      </c>
      <c r="I25" s="47">
        <f>'Plotting Points'!C6</f>
        <v>7</v>
      </c>
      <c r="J25" s="14"/>
      <c r="K25" s="14"/>
      <c r="L25" s="14"/>
      <c r="M25" s="8"/>
    </row>
    <row r="26" spans="1:13" x14ac:dyDescent="0.25">
      <c r="B26" s="15"/>
      <c r="C26" s="15"/>
      <c r="D26" s="45"/>
      <c r="E26" s="45"/>
      <c r="F26" s="45"/>
      <c r="G26" s="46"/>
      <c r="H26" s="46"/>
      <c r="I26" s="15"/>
    </row>
    <row r="53" spans="1:3" x14ac:dyDescent="0.25">
      <c r="A53" s="1"/>
      <c r="B53" s="1"/>
      <c r="C53" s="1"/>
    </row>
    <row r="62" spans="1:3" x14ac:dyDescent="0.25">
      <c r="A62" s="1"/>
      <c r="B62" s="1"/>
    </row>
    <row r="79" spans="3:3" x14ac:dyDescent="0.25">
      <c r="C79" s="1"/>
    </row>
    <row r="85" spans="1:2" x14ac:dyDescent="0.25">
      <c r="A85" s="1"/>
      <c r="B85" s="1"/>
    </row>
    <row r="94" spans="1:2" x14ac:dyDescent="0.25">
      <c r="A94" s="1"/>
      <c r="B94" s="1"/>
    </row>
  </sheetData>
  <printOptions gridLines="1"/>
  <pageMargins left="0.75" right="0.75" top="1" bottom="1" header="0.5" footer="0.5"/>
  <pageSetup scale="99" orientation="landscape" horizontalDpi="4294967292" verticalDpi="300" r:id="rId1"/>
  <headerFooter alignWithMargins="0">
    <oddHeader>&amp;A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Plotting Points</vt:lpstr>
      <vt:lpstr>Fitting Straight Line</vt:lpstr>
      <vt:lpstr>Adjusting</vt:lpstr>
      <vt:lpstr>LifeTable</vt:lpstr>
      <vt:lpstr>Adjusting!Print_Area</vt:lpstr>
      <vt:lpstr>'Fitting Straight Line'!Print_Area</vt:lpstr>
    </vt:vector>
  </TitlesOfParts>
  <Company>Word Health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Generalized Growth Balance Method</dc:title>
  <dc:creator>m-moradi</dc:creator>
  <cp:lastModifiedBy>m-moradi</cp:lastModifiedBy>
  <cp:lastPrinted>2001-10-05T10:45:13Z</cp:lastPrinted>
  <dcterms:created xsi:type="dcterms:W3CDTF">1998-10-02T17:40:58Z</dcterms:created>
  <dcterms:modified xsi:type="dcterms:W3CDTF">2021-01-07T06:50:20Z</dcterms:modified>
</cp:coreProperties>
</file>