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m-moradi\Documents\My Documents\Optimax\Oman\Face to Face training\Share\"/>
    </mc:Choice>
  </mc:AlternateContent>
  <xr:revisionPtr revIDLastSave="0" documentId="13_ncr:1_{7C4F4DB9-2FEC-45DD-910D-8B5605BE51C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Worksheet" sheetId="51301" r:id="rId1"/>
    <sheet name="LifeTable" sheetId="6" r:id="rId2"/>
    <sheet name="Error Scenarios" sheetId="57028" r:id="rId3"/>
    <sheet name="Reference" sheetId="57029" r:id="rId4"/>
  </sheets>
  <definedNames>
    <definedName name="_xlnm.Print_Area" localSheetId="0">Worksheet!$A$1:$X$35</definedName>
  </definedNames>
  <calcPr calcId="181029"/>
</workbook>
</file>

<file path=xl/calcChain.xml><?xml version="1.0" encoding="utf-8"?>
<calcChain xmlns="http://schemas.openxmlformats.org/spreadsheetml/2006/main">
  <c r="J15" i="51301" l="1"/>
  <c r="I15" i="51301" l="1"/>
  <c r="H15" i="51301"/>
  <c r="G28" i="51301"/>
  <c r="F34" i="51301"/>
  <c r="F32" i="51301"/>
  <c r="C32" i="51301"/>
  <c r="F14" i="51301"/>
  <c r="B3" i="57028" l="1"/>
  <c r="B4" i="57028"/>
  <c r="C4" i="57028"/>
  <c r="B5" i="57028"/>
  <c r="C5" i="57028"/>
  <c r="B13" i="57028"/>
  <c r="C13" i="57028"/>
  <c r="D13" i="57028"/>
  <c r="M13" i="57028" s="1"/>
  <c r="H13" i="57028"/>
  <c r="I13" i="57028"/>
  <c r="J13" i="57028"/>
  <c r="K13" i="57028"/>
  <c r="B14" i="57028"/>
  <c r="C14" i="57028"/>
  <c r="L14" i="57028" s="1"/>
  <c r="D14" i="57028"/>
  <c r="M14" i="57028" s="1"/>
  <c r="H14" i="57028"/>
  <c r="K14" i="57028" s="1"/>
  <c r="I14" i="57028"/>
  <c r="J14" i="57028"/>
  <c r="B15" i="57028"/>
  <c r="K15" i="57028" s="1"/>
  <c r="C15" i="57028"/>
  <c r="L15" i="57028" s="1"/>
  <c r="D15" i="57028"/>
  <c r="M15" i="57028" s="1"/>
  <c r="H15" i="57028"/>
  <c r="I15" i="57028"/>
  <c r="J15" i="57028"/>
  <c r="B16" i="57028"/>
  <c r="K16" i="57028" s="1"/>
  <c r="C16" i="57028"/>
  <c r="L16" i="57028" s="1"/>
  <c r="D16" i="57028"/>
  <c r="M16" i="57028" s="1"/>
  <c r="H16" i="57028"/>
  <c r="I16" i="57028"/>
  <c r="J16" i="57028"/>
  <c r="B17" i="57028"/>
  <c r="K17" i="57028" s="1"/>
  <c r="C17" i="57028"/>
  <c r="L17" i="57028" s="1"/>
  <c r="D17" i="57028"/>
  <c r="M17" i="57028" s="1"/>
  <c r="H17" i="57028"/>
  <c r="I17" i="57028"/>
  <c r="J17" i="57028"/>
  <c r="B18" i="57028"/>
  <c r="K18" i="57028" s="1"/>
  <c r="C18" i="57028"/>
  <c r="L18" i="57028" s="1"/>
  <c r="D18" i="57028"/>
  <c r="H18" i="57028"/>
  <c r="I18" i="57028"/>
  <c r="J18" i="57028"/>
  <c r="M18" i="57028"/>
  <c r="B19" i="57028"/>
  <c r="C19" i="57028"/>
  <c r="L19" i="57028" s="1"/>
  <c r="D19" i="57028"/>
  <c r="M19" i="57028" s="1"/>
  <c r="H19" i="57028"/>
  <c r="I19" i="57028"/>
  <c r="J19" i="57028"/>
  <c r="K19" i="57028"/>
  <c r="B20" i="57028"/>
  <c r="K20" i="57028" s="1"/>
  <c r="C20" i="57028"/>
  <c r="D20" i="57028"/>
  <c r="H20" i="57028"/>
  <c r="I20" i="57028"/>
  <c r="J20" i="57028"/>
  <c r="L20" i="57028"/>
  <c r="B21" i="57028"/>
  <c r="K21" i="57028" s="1"/>
  <c r="C21" i="57028"/>
  <c r="D21" i="57028"/>
  <c r="M21" i="57028" s="1"/>
  <c r="H21" i="57028"/>
  <c r="I21" i="57028"/>
  <c r="J21" i="57028"/>
  <c r="B22" i="57028"/>
  <c r="C22" i="57028"/>
  <c r="L22" i="57028" s="1"/>
  <c r="D22" i="57028"/>
  <c r="M22" i="57028" s="1"/>
  <c r="H22" i="57028"/>
  <c r="I22" i="57028"/>
  <c r="J22" i="57028"/>
  <c r="B23" i="57028"/>
  <c r="K23" i="57028" s="1"/>
  <c r="C23" i="57028"/>
  <c r="L23" i="57028" s="1"/>
  <c r="D23" i="57028"/>
  <c r="M23" i="57028" s="1"/>
  <c r="H23" i="57028"/>
  <c r="I23" i="57028"/>
  <c r="J23" i="57028"/>
  <c r="B24" i="57028"/>
  <c r="K24" i="57028" s="1"/>
  <c r="C24" i="57028"/>
  <c r="L24" i="57028" s="1"/>
  <c r="D24" i="57028"/>
  <c r="M24" i="57028" s="1"/>
  <c r="H24" i="57028"/>
  <c r="I24" i="57028"/>
  <c r="J24" i="57028"/>
  <c r="B25" i="57028"/>
  <c r="K25" i="57028" s="1"/>
  <c r="C25" i="57028"/>
  <c r="L25" i="57028" s="1"/>
  <c r="D25" i="57028"/>
  <c r="H25" i="57028"/>
  <c r="I25" i="57028"/>
  <c r="J25" i="57028"/>
  <c r="M25" i="57028"/>
  <c r="B26" i="57028"/>
  <c r="K26" i="57028" s="1"/>
  <c r="C26" i="57028"/>
  <c r="D26" i="57028"/>
  <c r="H26" i="57028"/>
  <c r="I26" i="57028"/>
  <c r="J26" i="57028"/>
  <c r="L26" i="57028"/>
  <c r="M26" i="57028"/>
  <c r="B27" i="57028"/>
  <c r="K27" i="57028" s="1"/>
  <c r="C27" i="57028"/>
  <c r="D27" i="57028"/>
  <c r="H27" i="57028"/>
  <c r="I27" i="57028"/>
  <c r="J27" i="57028"/>
  <c r="L27" i="57028"/>
  <c r="M27" i="57028"/>
  <c r="B28" i="57028"/>
  <c r="C28" i="57028"/>
  <c r="D28" i="57028"/>
  <c r="H28" i="57028"/>
  <c r="I28" i="57028"/>
  <c r="J28" i="57028"/>
  <c r="M28" i="57028" s="1"/>
  <c r="K28" i="57028"/>
  <c r="L28" i="57028"/>
  <c r="G2" i="6"/>
  <c r="H2" i="6"/>
  <c r="B3" i="6"/>
  <c r="G3" i="6"/>
  <c r="H3" i="6"/>
  <c r="B4" i="6"/>
  <c r="B9" i="6"/>
  <c r="I27" i="6"/>
  <c r="C10" i="51301"/>
  <c r="F18" i="51301" s="1"/>
  <c r="D10" i="51301"/>
  <c r="H16" i="51301"/>
  <c r="H17" i="51301"/>
  <c r="H18" i="51301"/>
  <c r="F19" i="51301"/>
  <c r="H19" i="51301"/>
  <c r="H20" i="51301"/>
  <c r="F21" i="51301"/>
  <c r="H21" i="51301"/>
  <c r="F22" i="51301"/>
  <c r="H22" i="51301"/>
  <c r="F23" i="51301"/>
  <c r="H23" i="51301"/>
  <c r="F24" i="51301"/>
  <c r="H24" i="51301"/>
  <c r="F25" i="51301"/>
  <c r="H25" i="51301"/>
  <c r="F26" i="51301"/>
  <c r="H26" i="51301"/>
  <c r="F27" i="51301"/>
  <c r="H27" i="51301"/>
  <c r="F28" i="51301"/>
  <c r="H28" i="51301"/>
  <c r="F29" i="51301"/>
  <c r="C31" i="51301"/>
  <c r="D31" i="51301"/>
  <c r="E31" i="51301"/>
  <c r="F33" i="51301"/>
  <c r="M20" i="57028" l="1"/>
  <c r="L21" i="57028"/>
  <c r="L13" i="57028"/>
  <c r="K22" i="57028"/>
  <c r="G29" i="51301"/>
  <c r="F20" i="51301"/>
  <c r="F15" i="51301"/>
  <c r="F16" i="51301"/>
  <c r="F17" i="51301"/>
  <c r="I28" i="51301" l="1"/>
  <c r="O16" i="51301" s="1"/>
  <c r="G27" i="51301"/>
  <c r="G26" i="51301" s="1"/>
  <c r="I27" i="51301" l="1"/>
  <c r="O15" i="51301" s="1"/>
  <c r="G25" i="51301"/>
  <c r="I26" i="51301"/>
  <c r="O14" i="51301" s="1"/>
  <c r="I25" i="51301" l="1"/>
  <c r="O13" i="51301" s="1"/>
  <c r="G24" i="51301"/>
  <c r="G23" i="51301" l="1"/>
  <c r="I24" i="51301"/>
  <c r="O12" i="51301" s="1"/>
  <c r="G22" i="51301" l="1"/>
  <c r="I23" i="51301"/>
  <c r="O11" i="51301" s="1"/>
  <c r="G21" i="51301" l="1"/>
  <c r="I22" i="51301"/>
  <c r="O10" i="51301" s="1"/>
  <c r="I21" i="51301" l="1"/>
  <c r="O9" i="51301" s="1"/>
  <c r="G20" i="51301"/>
  <c r="G19" i="51301" l="1"/>
  <c r="I20" i="51301"/>
  <c r="O8" i="51301" s="1"/>
  <c r="G18" i="51301" l="1"/>
  <c r="I19" i="51301"/>
  <c r="O7" i="51301" s="1"/>
  <c r="G17" i="51301" l="1"/>
  <c r="G16" i="51301" s="1"/>
  <c r="I18" i="51301"/>
  <c r="O6" i="51301" s="1"/>
  <c r="I17" i="51301" l="1"/>
  <c r="O5" i="51301" s="1"/>
  <c r="G15" i="51301" l="1"/>
  <c r="G14" i="51301" s="1"/>
  <c r="I16" i="51301"/>
  <c r="O4" i="51301" s="1"/>
  <c r="O3" i="51301" l="1"/>
  <c r="I33" i="51301"/>
  <c r="I32" i="51301"/>
  <c r="J17" i="51301" l="1"/>
  <c r="K17" i="51301" s="1"/>
  <c r="B15" i="6" s="1"/>
  <c r="C15" i="6" s="1"/>
  <c r="E15" i="6" s="1"/>
  <c r="J16" i="51301"/>
  <c r="K16" i="51301" s="1"/>
  <c r="B14" i="6" s="1"/>
  <c r="C14" i="6" s="1"/>
  <c r="E14" i="6" s="1"/>
  <c r="J20" i="51301"/>
  <c r="K20" i="51301" s="1"/>
  <c r="B18" i="6" s="1"/>
  <c r="C18" i="6" s="1"/>
  <c r="E18" i="6" s="1"/>
  <c r="J24" i="51301"/>
  <c r="K24" i="51301" s="1"/>
  <c r="B22" i="6" s="1"/>
  <c r="C22" i="6" s="1"/>
  <c r="E22" i="6" s="1"/>
  <c r="J28" i="51301"/>
  <c r="K28" i="51301" s="1"/>
  <c r="B26" i="6" s="1"/>
  <c r="C26" i="6" s="1"/>
  <c r="E26" i="6" s="1"/>
  <c r="J21" i="51301"/>
  <c r="K21" i="51301" s="1"/>
  <c r="B19" i="6" s="1"/>
  <c r="C19" i="6" s="1"/>
  <c r="E19" i="6" s="1"/>
  <c r="I4" i="51301"/>
  <c r="K15" i="51301"/>
  <c r="B13" i="6" s="1"/>
  <c r="C13" i="6" s="1"/>
  <c r="E13" i="6" s="1"/>
  <c r="F14" i="6" s="1"/>
  <c r="J14" i="51301"/>
  <c r="J19" i="51301"/>
  <c r="K19" i="51301" s="1"/>
  <c r="B17" i="6" s="1"/>
  <c r="C17" i="6" s="1"/>
  <c r="E17" i="6" s="1"/>
  <c r="J23" i="51301"/>
  <c r="K23" i="51301" s="1"/>
  <c r="B21" i="6" s="1"/>
  <c r="C21" i="6" s="1"/>
  <c r="E21" i="6" s="1"/>
  <c r="J27" i="51301"/>
  <c r="K27" i="51301" s="1"/>
  <c r="B25" i="6" s="1"/>
  <c r="C25" i="6" s="1"/>
  <c r="E25" i="6" s="1"/>
  <c r="J25" i="51301"/>
  <c r="K25" i="51301" s="1"/>
  <c r="B23" i="6" s="1"/>
  <c r="C23" i="6" s="1"/>
  <c r="E23" i="6" s="1"/>
  <c r="J22" i="51301"/>
  <c r="K22" i="51301" s="1"/>
  <c r="B20" i="6" s="1"/>
  <c r="C20" i="6" s="1"/>
  <c r="E20" i="6" s="1"/>
  <c r="J26" i="51301"/>
  <c r="K26" i="51301" s="1"/>
  <c r="B24" i="6" s="1"/>
  <c r="C24" i="6" s="1"/>
  <c r="E24" i="6" s="1"/>
  <c r="J29" i="51301"/>
  <c r="K29" i="51301" s="1"/>
  <c r="B27" i="6" s="1"/>
  <c r="J18" i="51301"/>
  <c r="K18" i="51301" s="1"/>
  <c r="B16" i="6" s="1"/>
  <c r="C16" i="6" s="1"/>
  <c r="E16" i="6" s="1"/>
  <c r="I34" i="51301"/>
  <c r="J4" i="51301"/>
  <c r="G13" i="6" l="1"/>
  <c r="F15" i="6"/>
  <c r="G14" i="6" s="1"/>
  <c r="K4" i="51301"/>
  <c r="J31" i="51301"/>
  <c r="K14" i="51301"/>
  <c r="B12" i="6" s="1"/>
  <c r="F16" i="6" l="1"/>
  <c r="G15" i="6" s="1"/>
  <c r="F17" i="6" l="1"/>
  <c r="G16" i="6"/>
  <c r="F18" i="6" l="1"/>
  <c r="G17" i="6" s="1"/>
  <c r="F19" i="6" l="1"/>
  <c r="F20" i="6" l="1"/>
  <c r="G19" i="6" s="1"/>
  <c r="G18" i="6"/>
  <c r="F21" i="6" l="1"/>
  <c r="F22" i="6" l="1"/>
  <c r="G20" i="6"/>
  <c r="F23" i="6" l="1"/>
  <c r="G22" i="6" s="1"/>
  <c r="G21" i="6"/>
  <c r="F24" i="6" l="1"/>
  <c r="F25" i="6" l="1"/>
  <c r="G24" i="6"/>
  <c r="G23" i="6"/>
  <c r="F26" i="6" l="1"/>
  <c r="F27" i="6" l="1"/>
  <c r="H27" i="6" s="1"/>
  <c r="G25" i="6"/>
  <c r="G26" i="6" l="1"/>
  <c r="H14" i="6" s="1"/>
  <c r="I14" i="6" s="1"/>
  <c r="H19" i="6" l="1"/>
  <c r="I19" i="6" s="1"/>
  <c r="H20" i="6"/>
  <c r="I20" i="6" s="1"/>
  <c r="H24" i="6"/>
  <c r="I24" i="6" s="1"/>
  <c r="H21" i="6"/>
  <c r="I21" i="6" s="1"/>
  <c r="H13" i="6"/>
  <c r="I13" i="6" s="1"/>
  <c r="H23" i="6"/>
  <c r="I23" i="6" s="1"/>
  <c r="H22" i="6"/>
  <c r="I22" i="6" s="1"/>
  <c r="H26" i="6"/>
  <c r="I26" i="6" s="1"/>
  <c r="H18" i="6"/>
  <c r="I18" i="6" s="1"/>
  <c r="H15" i="6"/>
  <c r="I15" i="6" s="1"/>
  <c r="H16" i="6"/>
  <c r="I16" i="6" s="1"/>
  <c r="H25" i="6"/>
  <c r="I25" i="6" s="1"/>
  <c r="H17" i="6"/>
  <c r="I17" i="6" s="1"/>
</calcChain>
</file>

<file path=xl/sharedStrings.xml><?xml version="1.0" encoding="utf-8"?>
<sst xmlns="http://schemas.openxmlformats.org/spreadsheetml/2006/main" count="218" uniqueCount="99">
  <si>
    <t>Age</t>
  </si>
  <si>
    <t>Group</t>
  </si>
  <si>
    <t>0-4</t>
  </si>
  <si>
    <t>5- 9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</si>
  <si>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</si>
  <si>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</si>
  <si>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</si>
  <si>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</si>
  <si>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</si>
  <si>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</si>
  <si>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</si>
  <si>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</si>
  <si>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</si>
  <si>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</si>
  <si>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</si>
  <si>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</si>
  <si>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</si>
  <si>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Deaths</t>
  </si>
  <si>
    <t>Growth</t>
  </si>
  <si>
    <t>Rate</t>
  </si>
  <si>
    <t>NA</t>
  </si>
  <si>
    <t>Ratio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</si>
  <si>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</si>
  <si>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</si>
  <si>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</si>
  <si>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</si>
  <si>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</si>
  <si>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</si>
  <si>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</si>
  <si>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</si>
  <si>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</si>
  <si>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Reference</t>
  </si>
  <si>
    <t>Estimating the completeness of death registration in a closed population</t>
  </si>
  <si>
    <t>by Neil G. Bennett and Shiro Horiuchi</t>
  </si>
  <si>
    <t>Population Index, Volume 47, Number 2, Summer 1981, Pages 207-221</t>
  </si>
  <si>
    <t>Median</t>
  </si>
  <si>
    <t>Number</t>
  </si>
  <si>
    <t>Reaching</t>
  </si>
  <si>
    <t>N1(x,5)</t>
  </si>
  <si>
    <t>N2(x,5)</t>
  </si>
  <si>
    <t>x</t>
  </si>
  <si>
    <t>r(x,5)</t>
  </si>
  <si>
    <t>N(x)</t>
  </si>
  <si>
    <t>Inter-</t>
  </si>
  <si>
    <t>D(x,5)</t>
  </si>
  <si>
    <t>N*(x)</t>
  </si>
  <si>
    <t>N*(x)/N(x)</t>
  </si>
  <si>
    <t>75+</t>
  </si>
  <si>
    <t>Population</t>
  </si>
  <si>
    <t>censal</t>
  </si>
  <si>
    <t>0.5 * IQ Range</t>
  </si>
  <si>
    <t>Percent</t>
  </si>
  <si>
    <t>Adjusted</t>
  </si>
  <si>
    <t>Death</t>
  </si>
  <si>
    <t>Input</t>
  </si>
  <si>
    <t>5qx</t>
  </si>
  <si>
    <t>lx/l5</t>
  </si>
  <si>
    <t>5Lx/l5</t>
  </si>
  <si>
    <t>Tx/l5</t>
  </si>
  <si>
    <t>ex</t>
  </si>
  <si>
    <t>5</t>
  </si>
  <si>
    <t>10</t>
  </si>
  <si>
    <t>20</t>
  </si>
  <si>
    <t>25</t>
  </si>
  <si>
    <t>35</t>
  </si>
  <si>
    <t>40</t>
  </si>
  <si>
    <t>50</t>
  </si>
  <si>
    <t>55</t>
  </si>
  <si>
    <t>60</t>
  </si>
  <si>
    <t>65</t>
  </si>
  <si>
    <t>70</t>
  </si>
  <si>
    <t>75</t>
  </si>
  <si>
    <t>e75</t>
  </si>
  <si>
    <t>Census 1</t>
  </si>
  <si>
    <t>Sex</t>
  </si>
  <si>
    <t>Census 2</t>
  </si>
  <si>
    <t>Deaths adjustment factor</t>
  </si>
  <si>
    <t>Error</t>
  </si>
  <si>
    <t>Specific</t>
  </si>
  <si>
    <t>Total</t>
  </si>
  <si>
    <t>Factor</t>
  </si>
  <si>
    <t>e75=</t>
  </si>
  <si>
    <t>Age x from</t>
  </si>
  <si>
    <t>Age Dist</t>
  </si>
  <si>
    <t>exp(r(75+)*e75) = T1 =</t>
  </si>
  <si>
    <t>((r(75+)*e75)^2)/6 = T2 =</t>
  </si>
  <si>
    <t>N(75)=D(75+)[T1 - T2] =</t>
  </si>
  <si>
    <t>Error Scenarios for Two Census Age Distributions and Intercensal Deaths</t>
  </si>
  <si>
    <t>Adjust</t>
  </si>
  <si>
    <t>Factors</t>
  </si>
  <si>
    <t>P1(x,5)</t>
  </si>
  <si>
    <t>P2(x,5)</t>
  </si>
  <si>
    <t>Estimate</t>
  </si>
  <si>
    <t>Indicator</t>
  </si>
  <si>
    <t>Male</t>
  </si>
  <si>
    <t>Extinct Generations (Bennett-Horiuchi)  Method</t>
  </si>
  <si>
    <t>Life Table</t>
  </si>
  <si>
    <t>Order</t>
  </si>
  <si>
    <t>Added MML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</si>
</sst>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000"/>
    <numFmt numFmtId="166" formatCode="0.000"/>
    <numFmt numFmtId="167" formatCode="0.0"/>
    <numFmt numFmtId="168" formatCode="0.000000"/>
    <numFmt numFmtId="169" formatCode="0_);\(0\)"/>
  </numFmts>
  <fonts count="8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9"/>
      <color indexed="14"/>
      <name val="Arial"/>
      <family val="2"/>
    </font>
    <font>
      <sz val="9"/>
      <color indexed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rgb="FFFF0000"/>
      </diagonal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Alignment="1" applyProtection="1">
      <alignment horizontal="right"/>
    </xf>
    <xf numFmtId="166" fontId="3" fillId="0" borderId="0" xfId="0" applyNumberFormat="1" applyFont="1" applyProtection="1"/>
    <xf numFmtId="15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5" fillId="0" borderId="0" xfId="0" applyNumberFormat="1" applyFont="1" applyProtection="1"/>
    <xf numFmtId="166" fontId="6" fillId="0" borderId="0" xfId="0" applyNumberFormat="1" applyFont="1" applyProtection="1"/>
    <xf numFmtId="167" fontId="6" fillId="0" borderId="0" xfId="0" applyNumberFormat="1" applyFont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4" fillId="2" borderId="0" xfId="0" applyFont="1" applyFill="1" applyProtection="1"/>
    <xf numFmtId="0" fontId="7" fillId="0" borderId="0" xfId="0" applyFont="1" applyAlignment="1" applyProtection="1">
      <alignment horizontal="right"/>
    </xf>
    <xf numFmtId="169" fontId="3" fillId="0" borderId="0" xfId="0" applyNumberFormat="1" applyFont="1" applyAlignment="1" applyProtection="1">
      <alignment horizontal="right"/>
    </xf>
    <xf numFmtId="3" fontId="4" fillId="0" borderId="0" xfId="0" applyNumberFormat="1" applyFont="1" applyProtection="1"/>
    <xf numFmtId="168" fontId="3" fillId="0" borderId="0" xfId="0" applyNumberFormat="1" applyFont="1" applyProtection="1"/>
    <xf numFmtId="3" fontId="3" fillId="0" borderId="0" xfId="0" applyNumberFormat="1" applyFont="1" applyProtection="1"/>
    <xf numFmtId="3" fontId="3" fillId="0" borderId="0" xfId="0" applyNumberFormat="1" applyFont="1" applyAlignment="1" applyProtection="1">
      <alignment horizontal="right"/>
    </xf>
    <xf numFmtId="3" fontId="6" fillId="0" borderId="0" xfId="0" applyNumberFormat="1" applyFont="1" applyProtection="1"/>
    <xf numFmtId="165" fontId="6" fillId="0" borderId="0" xfId="0" applyNumberFormat="1" applyFont="1" applyProtection="1"/>
    <xf numFmtId="49" fontId="3" fillId="0" borderId="0" xfId="0" applyNumberFormat="1" applyFont="1" applyAlignment="1" applyProtection="1">
      <alignment horizontal="right"/>
    </xf>
    <xf numFmtId="164" fontId="3" fillId="0" borderId="0" xfId="0" applyNumberFormat="1" applyFont="1" applyProtection="1"/>
    <xf numFmtId="168" fontId="3" fillId="0" borderId="0" xfId="0" applyNumberFormat="1" applyFont="1" applyAlignment="1" applyProtection="1">
      <alignment horizontal="left"/>
    </xf>
    <xf numFmtId="3" fontId="3" fillId="0" borderId="0" xfId="0" applyNumberFormat="1" applyFont="1" applyAlignment="1" applyProtection="1">
      <alignment horizontal="left"/>
    </xf>
    <xf numFmtId="1" fontId="3" fillId="0" borderId="0" xfId="0" applyNumberFormat="1" applyFont="1" applyProtection="1"/>
    <xf numFmtId="0" fontId="5" fillId="0" borderId="0" xfId="0" applyFont="1" applyProtection="1"/>
    <xf numFmtId="15" fontId="5" fillId="0" borderId="0" xfId="0" applyNumberFormat="1" applyFont="1" applyProtection="1"/>
    <xf numFmtId="1" fontId="3" fillId="0" borderId="0" xfId="0" applyNumberFormat="1" applyFont="1" applyAlignment="1" applyProtection="1">
      <alignment horizontal="right"/>
    </xf>
    <xf numFmtId="0" fontId="3" fillId="0" borderId="0" xfId="0" applyNumberFormat="1" applyFont="1" applyProtection="1"/>
    <xf numFmtId="167" fontId="3" fillId="0" borderId="0" xfId="0" applyNumberFormat="1" applyFont="1" applyProtection="1"/>
    <xf numFmtId="0" fontId="4" fillId="0" borderId="0" xfId="0" applyFont="1" applyProtection="1"/>
    <xf numFmtId="0" fontId="3" fillId="2" borderId="0" xfId="0" applyFont="1" applyFill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66" fontId="4" fillId="0" borderId="0" xfId="0" applyNumberFormat="1" applyFont="1" applyProtection="1"/>
    <xf numFmtId="168" fontId="5" fillId="0" borderId="0" xfId="0" applyNumberFormat="1" applyFont="1" applyAlignment="1" applyProtection="1">
      <alignment horizontal="right"/>
    </xf>
    <xf numFmtId="165" fontId="3" fillId="0" borderId="0" xfId="0" applyNumberFormat="1" applyFont="1" applyAlignment="1" applyProtection="1">
      <alignment horizontal="right"/>
    </xf>
    <xf numFmtId="165" fontId="3" fillId="0" borderId="0" xfId="0" applyNumberFormat="1" applyFont="1" applyProtection="1"/>
    <xf numFmtId="164" fontId="3" fillId="0" borderId="0" xfId="0" applyNumberFormat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2" fontId="6" fillId="0" borderId="0" xfId="0" applyNumberFormat="1" applyFont="1"/>
    <xf numFmtId="167" fontId="3" fillId="0" borderId="0" xfId="0" applyNumberFormat="1" applyFont="1"/>
    <xf numFmtId="15" fontId="5" fillId="0" borderId="0" xfId="0" applyNumberFormat="1" applyFont="1"/>
    <xf numFmtId="166" fontId="5" fillId="0" borderId="0" xfId="0" applyNumberFormat="1" applyFont="1"/>
    <xf numFmtId="167" fontId="6" fillId="0" borderId="0" xfId="0" applyNumberFormat="1" applyFont="1"/>
    <xf numFmtId="164" fontId="4" fillId="0" borderId="0" xfId="0" applyNumberFormat="1" applyFont="1"/>
    <xf numFmtId="169" fontId="3" fillId="0" borderId="0" xfId="0" applyNumberFormat="1" applyFont="1" applyAlignment="1">
      <alignment horizontal="right"/>
    </xf>
    <xf numFmtId="169" fontId="3" fillId="0" borderId="0" xfId="0" applyNumberFormat="1" applyFont="1"/>
    <xf numFmtId="3" fontId="3" fillId="0" borderId="0" xfId="0" applyNumberFormat="1" applyFont="1"/>
    <xf numFmtId="164" fontId="6" fillId="0" borderId="0" xfId="0" applyNumberFormat="1" applyFont="1"/>
    <xf numFmtId="3" fontId="6" fillId="0" borderId="0" xfId="0" applyNumberFormat="1" applyFont="1"/>
    <xf numFmtId="0" fontId="3" fillId="3" borderId="1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56347100701596"/>
          <c:y val="9.1448473719168796E-2"/>
          <c:w val="0.73162665267067306"/>
          <c:h val="0.66373892215525732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Worksheet!$N$3:$N$16</c:f>
              <c:numCache>
                <c:formatCode>General</c:formatCode>
                <c:ptCount val="14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</c:numCache>
            </c:numRef>
          </c:xVal>
          <c:yVal>
            <c:numRef>
              <c:f>Worksheet!$O$3:$O$16</c:f>
              <c:numCache>
                <c:formatCode>0.000</c:formatCode>
                <c:ptCount val="14"/>
                <c:pt idx="0">
                  <c:v>0.52481652099126652</c:v>
                </c:pt>
                <c:pt idx="1">
                  <c:v>0.49200515508248371</c:v>
                </c:pt>
                <c:pt idx="2">
                  <c:v>0.48856267874327686</c:v>
                </c:pt>
                <c:pt idx="3">
                  <c:v>0.51637893686407665</c:v>
                </c:pt>
                <c:pt idx="4">
                  <c:v>0.54810336366751711</c:v>
                </c:pt>
                <c:pt idx="5">
                  <c:v>0.5434938512337788</c:v>
                </c:pt>
                <c:pt idx="6">
                  <c:v>0.53894578368314439</c:v>
                </c:pt>
                <c:pt idx="7">
                  <c:v>0.53142803933122296</c:v>
                </c:pt>
                <c:pt idx="8">
                  <c:v>0.50771305616209739</c:v>
                </c:pt>
                <c:pt idx="9">
                  <c:v>0.49144856752941979</c:v>
                </c:pt>
                <c:pt idx="10">
                  <c:v>0.49042426273081124</c:v>
                </c:pt>
                <c:pt idx="11">
                  <c:v>0.47125162774344748</c:v>
                </c:pt>
                <c:pt idx="12">
                  <c:v>0.42730985961256329</c:v>
                </c:pt>
                <c:pt idx="13">
                  <c:v>0.38261816372699226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06-451B-BDE8-B5C72941A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7536831"/>
        <c:axId val="1"/>
      </c:scatterChart>
      <c:valAx>
        <c:axId val="170753683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Age x</a:t>
                </a:r>
              </a:p>
            </c:rich>
          </c:tx>
          <c:layout>
            <c:manualLayout>
              <c:xMode val="edge"/>
              <c:yMode val="edge"/>
              <c:x val="0.51949821491408743"/>
              <c:y val="0.861385623419267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Ratio(x)</a:t>
                </a:r>
              </a:p>
            </c:rich>
          </c:tx>
          <c:layout>
            <c:manualLayout>
              <c:xMode val="edge"/>
              <c:yMode val="edge"/>
              <c:x val="4.1126942014031921E-2"/>
              <c:y val="0.3274445349299269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7536831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</xdr:colOff>
      <xdr:row>16</xdr:row>
      <xdr:rowOff>106680</xdr:rowOff>
    </xdr:from>
    <xdr:to>
      <xdr:col>18</xdr:col>
      <xdr:colOff>403860</xdr:colOff>
      <xdr:row>34</xdr:row>
      <xdr:rowOff>83820</xdr:rowOff>
    </xdr:to>
    <xdr:graphicFrame macro="">
      <xdr:nvGraphicFramePr>
        <xdr:cNvPr id="2056" name="Chart 8">
          <a:extLst>
            <a:ext uri="{FF2B5EF4-FFF2-40B4-BE49-F238E27FC236}">
              <a16:creationId xmlns:a16="http://schemas.microsoft.com/office/drawing/2014/main" id="{9F7D322A-F2D7-4963-9B55-B5C3BB1FB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zoomScale="120" zoomScaleNormal="120" workbookViewId="0">
      <selection activeCell="R9" sqref="R9"/>
    </sheetView>
  </sheetViews>
  <sheetFormatPr defaultColWidth="9.109375" defaultRowHeight="11.4" x14ac:dyDescent="0.2"/>
  <cols>
    <col min="1" max="1" width="6.5546875" style="3" customWidth="1"/>
    <col min="2" max="2" width="5.109375" style="3" customWidth="1"/>
    <col min="3" max="3" width="11.109375" style="3" customWidth="1"/>
    <col min="4" max="4" width="10.109375" style="3" customWidth="1"/>
    <col min="5" max="5" width="8.109375" style="3" customWidth="1"/>
    <col min="6" max="6" width="9.44140625" style="3" customWidth="1"/>
    <col min="7" max="7" width="11.5546875" style="3" customWidth="1"/>
    <col min="8" max="8" width="13.5546875" style="3" customWidth="1"/>
    <col min="9" max="9" width="8.88671875" style="3" customWidth="1"/>
    <col min="10" max="10" width="10.44140625" style="3" customWidth="1"/>
    <col min="11" max="11" width="9.33203125" style="3" customWidth="1"/>
    <col min="12" max="13" width="3.33203125" style="3" customWidth="1"/>
    <col min="14" max="16384" width="9.109375" style="3"/>
  </cols>
  <sheetData>
    <row r="1" spans="1:18" ht="12.6" thickBot="1" x14ac:dyDescent="0.3">
      <c r="A1" s="2" t="s">
        <v>95</v>
      </c>
    </row>
    <row r="2" spans="1:18" ht="12" thickBot="1" x14ac:dyDescent="0.25">
      <c r="C2" s="4"/>
      <c r="D2" s="60">
        <v>1</v>
      </c>
      <c r="E2" s="3" t="s">
        <v>72</v>
      </c>
      <c r="F2" s="4">
        <v>6.24</v>
      </c>
      <c r="I2" s="6"/>
      <c r="J2" s="6" t="s">
        <v>77</v>
      </c>
      <c r="K2" s="6"/>
      <c r="N2" s="6" t="s">
        <v>40</v>
      </c>
      <c r="O2" s="6" t="s">
        <v>21</v>
      </c>
      <c r="R2" s="60" t="s">
        <v>97</v>
      </c>
    </row>
    <row r="3" spans="1:18" ht="12" thickBot="1" x14ac:dyDescent="0.25">
      <c r="A3" s="3" t="s">
        <v>74</v>
      </c>
      <c r="C3" s="4" t="s">
        <v>94</v>
      </c>
      <c r="D3" s="5"/>
      <c r="I3" s="6" t="s">
        <v>92</v>
      </c>
      <c r="J3" s="7" t="s">
        <v>93</v>
      </c>
      <c r="K3" s="6" t="s">
        <v>51</v>
      </c>
      <c r="N3" s="3">
        <v>5</v>
      </c>
      <c r="O3" s="8">
        <f t="shared" ref="O3:O16" si="0">I15</f>
        <v>0.52481652099126652</v>
      </c>
      <c r="R3" s="60" t="s">
        <v>98</v>
      </c>
    </row>
    <row r="4" spans="1:18" x14ac:dyDescent="0.2">
      <c r="A4" s="3" t="s">
        <v>73</v>
      </c>
      <c r="C4" s="9">
        <v>30181</v>
      </c>
      <c r="D4" s="10">
        <v>1982.63</v>
      </c>
      <c r="F4" s="11"/>
      <c r="H4" s="6" t="s">
        <v>76</v>
      </c>
      <c r="I4" s="12">
        <f>I32</f>
        <v>0.49985910562229052</v>
      </c>
      <c r="J4" s="12">
        <f>I33</f>
        <v>2.0373542503036718E-2</v>
      </c>
      <c r="K4" s="13">
        <f>100*J4/I4</f>
        <v>4.0758570312874554</v>
      </c>
      <c r="L4" s="8"/>
      <c r="N4" s="3">
        <v>10</v>
      </c>
      <c r="O4" s="8">
        <f t="shared" si="0"/>
        <v>0.49200515508248371</v>
      </c>
    </row>
    <row r="5" spans="1:18" x14ac:dyDescent="0.2">
      <c r="A5" s="3" t="s">
        <v>75</v>
      </c>
      <c r="C5" s="9">
        <v>33834</v>
      </c>
      <c r="D5" s="10">
        <v>1992.63</v>
      </c>
      <c r="F5" s="11"/>
      <c r="H5" s="6"/>
      <c r="I5" s="13"/>
      <c r="J5" s="13"/>
      <c r="K5" s="13"/>
      <c r="L5" s="8"/>
      <c r="N5" s="3">
        <v>15</v>
      </c>
      <c r="O5" s="8">
        <f t="shared" si="0"/>
        <v>0.48856267874327686</v>
      </c>
    </row>
    <row r="6" spans="1:18" x14ac:dyDescent="0.2">
      <c r="A6" s="14"/>
      <c r="B6" s="14"/>
      <c r="C6" s="14"/>
      <c r="D6" s="15"/>
      <c r="E6" s="14"/>
      <c r="F6" s="14"/>
      <c r="G6" s="16"/>
      <c r="H6" s="14"/>
      <c r="I6" s="14"/>
      <c r="J6" s="14"/>
      <c r="K6" s="14"/>
      <c r="N6" s="3">
        <v>20</v>
      </c>
      <c r="O6" s="8">
        <f t="shared" si="0"/>
        <v>0.51637893686407665</v>
      </c>
    </row>
    <row r="7" spans="1:18" x14ac:dyDescent="0.2">
      <c r="F7" s="6" t="s">
        <v>0</v>
      </c>
      <c r="G7" s="6" t="s">
        <v>36</v>
      </c>
      <c r="H7" s="6" t="s">
        <v>36</v>
      </c>
      <c r="N7" s="3">
        <v>25</v>
      </c>
      <c r="O7" s="8">
        <f t="shared" si="0"/>
        <v>0.54810336366751711</v>
      </c>
    </row>
    <row r="8" spans="1:18" x14ac:dyDescent="0.2">
      <c r="E8" s="6" t="s">
        <v>43</v>
      </c>
      <c r="F8" s="6" t="s">
        <v>78</v>
      </c>
      <c r="G8" s="6" t="s">
        <v>37</v>
      </c>
      <c r="H8" s="6" t="s">
        <v>37</v>
      </c>
      <c r="J8" s="6"/>
      <c r="N8" s="3">
        <v>30</v>
      </c>
      <c r="O8" s="8">
        <f t="shared" si="0"/>
        <v>0.5434938512337788</v>
      </c>
    </row>
    <row r="9" spans="1:18" x14ac:dyDescent="0.2">
      <c r="C9" s="6" t="s">
        <v>48</v>
      </c>
      <c r="D9" s="6" t="s">
        <v>48</v>
      </c>
      <c r="E9" s="6" t="s">
        <v>49</v>
      </c>
      <c r="F9" s="6" t="s">
        <v>18</v>
      </c>
      <c r="G9" s="6" t="s">
        <v>82</v>
      </c>
      <c r="H9" s="6" t="s">
        <v>82</v>
      </c>
      <c r="J9" s="6"/>
      <c r="K9" s="6" t="s">
        <v>52</v>
      </c>
      <c r="N9" s="3">
        <v>35</v>
      </c>
      <c r="O9" s="8">
        <f t="shared" si="0"/>
        <v>0.53894578368314439</v>
      </c>
    </row>
    <row r="10" spans="1:18" x14ac:dyDescent="0.2">
      <c r="A10" s="6" t="s">
        <v>0</v>
      </c>
      <c r="B10" s="6" t="s">
        <v>0</v>
      </c>
      <c r="C10" s="7">
        <f>D4</f>
        <v>1982.63</v>
      </c>
      <c r="D10" s="7">
        <f>D5</f>
        <v>1992.63</v>
      </c>
      <c r="E10" s="6" t="s">
        <v>17</v>
      </c>
      <c r="F10" s="6" t="s">
        <v>19</v>
      </c>
      <c r="G10" s="6" t="s">
        <v>17</v>
      </c>
      <c r="H10" s="6" t="s">
        <v>83</v>
      </c>
      <c r="I10" s="6" t="s">
        <v>21</v>
      </c>
      <c r="J10" s="6" t="s">
        <v>52</v>
      </c>
      <c r="K10" s="6" t="s">
        <v>53</v>
      </c>
      <c r="N10" s="3">
        <v>40</v>
      </c>
      <c r="O10" s="8">
        <f t="shared" si="0"/>
        <v>0.53142803933122296</v>
      </c>
    </row>
    <row r="11" spans="1:18" x14ac:dyDescent="0.2">
      <c r="A11" s="6" t="s">
        <v>1</v>
      </c>
      <c r="B11" s="17" t="s">
        <v>40</v>
      </c>
      <c r="C11" s="17" t="s">
        <v>38</v>
      </c>
      <c r="D11" s="17" t="s">
        <v>39</v>
      </c>
      <c r="E11" s="17" t="s">
        <v>44</v>
      </c>
      <c r="F11" s="17" t="s">
        <v>41</v>
      </c>
      <c r="G11" s="17" t="s">
        <v>45</v>
      </c>
      <c r="H11" s="17" t="s">
        <v>42</v>
      </c>
      <c r="I11" s="17" t="s">
        <v>46</v>
      </c>
      <c r="J11" s="7" t="s">
        <v>17</v>
      </c>
      <c r="K11" s="6" t="s">
        <v>19</v>
      </c>
      <c r="N11" s="3">
        <v>45</v>
      </c>
      <c r="O11" s="8">
        <f t="shared" si="0"/>
        <v>0.50771305616209739</v>
      </c>
    </row>
    <row r="12" spans="1:18" ht="12" thickBot="1" x14ac:dyDescent="0.25">
      <c r="A12" s="18" t="s">
        <v>22</v>
      </c>
      <c r="B12" s="18" t="s">
        <v>23</v>
      </c>
      <c r="C12" s="18" t="s">
        <v>24</v>
      </c>
      <c r="D12" s="18" t="s">
        <v>25</v>
      </c>
      <c r="E12" s="18" t="s">
        <v>26</v>
      </c>
      <c r="F12" s="18" t="s">
        <v>27</v>
      </c>
      <c r="G12" s="18" t="s">
        <v>28</v>
      </c>
      <c r="H12" s="18" t="s">
        <v>29</v>
      </c>
      <c r="I12" s="18" t="s">
        <v>30</v>
      </c>
      <c r="J12" s="18">
        <v>-10</v>
      </c>
      <c r="K12" s="18">
        <v>-11</v>
      </c>
      <c r="N12" s="3">
        <v>50</v>
      </c>
      <c r="O12" s="8">
        <f t="shared" si="0"/>
        <v>0.49144856752941979</v>
      </c>
    </row>
    <row r="13" spans="1:18" ht="12" thickBot="1" x14ac:dyDescent="0.25">
      <c r="F13" s="60">
        <v>2</v>
      </c>
      <c r="G13" s="60">
        <v>6</v>
      </c>
      <c r="H13" s="60">
        <v>7</v>
      </c>
      <c r="I13" s="60">
        <v>8</v>
      </c>
      <c r="J13" s="60">
        <v>9</v>
      </c>
      <c r="K13" s="60">
        <v>10</v>
      </c>
      <c r="N13" s="3">
        <v>55</v>
      </c>
      <c r="O13" s="8">
        <f t="shared" si="0"/>
        <v>0.49042426273081124</v>
      </c>
    </row>
    <row r="14" spans="1:18" x14ac:dyDescent="0.2">
      <c r="A14" s="6" t="s">
        <v>2</v>
      </c>
      <c r="B14" s="3">
        <v>0</v>
      </c>
      <c r="C14" s="19">
        <v>644716</v>
      </c>
      <c r="D14" s="19">
        <v>791447</v>
      </c>
      <c r="E14" s="19">
        <v>46743.18</v>
      </c>
      <c r="F14" s="20">
        <f>LN(D14/C14)/($D$10-$C$10)</f>
        <v>2.0505300586016934E-2</v>
      </c>
      <c r="G14" s="21">
        <f>G15*EXP(5*F14)+E14*EXP(2.5*F14)</f>
        <v>896793.61343013449</v>
      </c>
      <c r="H14" s="22" t="s">
        <v>20</v>
      </c>
      <c r="I14" s="22" t="s">
        <v>20</v>
      </c>
      <c r="J14" s="23">
        <f t="shared" ref="J14:J29" si="1">E14/$I$32</f>
        <v>93512.710830400756</v>
      </c>
      <c r="K14" s="24">
        <f>J14/(SQRT(C14*D14)*($D$5-$D$4))</f>
        <v>1.3091080822406575E-2</v>
      </c>
      <c r="N14" s="3">
        <v>60</v>
      </c>
      <c r="O14" s="8">
        <f t="shared" si="0"/>
        <v>0.47125162774344748</v>
      </c>
    </row>
    <row r="15" spans="1:18" x14ac:dyDescent="0.2">
      <c r="A15" s="25" t="s">
        <v>3</v>
      </c>
      <c r="B15" s="3">
        <v>5</v>
      </c>
      <c r="C15" s="19">
        <v>614081</v>
      </c>
      <c r="D15" s="19">
        <v>823904</v>
      </c>
      <c r="E15" s="19">
        <v>3101.29</v>
      </c>
      <c r="F15" s="20">
        <f t="shared" ref="F15:F29" si="2">LN(D15/C15)/($D$10-$C$10)</f>
        <v>2.93927176997557E-2</v>
      </c>
      <c r="G15" s="21">
        <f t="shared" ref="G15:G27" si="3">G16*EXP(5*F15)+E15*EXP(2.5*F15)</f>
        <v>764997.51332841732</v>
      </c>
      <c r="H15" s="21">
        <f>($D$5-$D$4)*0.2*SQRT(C14*D15)</f>
        <v>1457647.5448667281</v>
      </c>
      <c r="I15" s="12">
        <f>G15/H15</f>
        <v>0.52481652099126652</v>
      </c>
      <c r="J15" s="23">
        <f>E15/$I$32</f>
        <v>6204.3283099526725</v>
      </c>
      <c r="K15" s="24">
        <f t="shared" ref="K15:K29" si="4">J15/(SQRT(C15*D15)*($D$5-$D$4))</f>
        <v>8.722553365510294E-4</v>
      </c>
      <c r="N15" s="3">
        <v>65</v>
      </c>
      <c r="O15" s="8">
        <f t="shared" si="0"/>
        <v>0.42730985961256329</v>
      </c>
    </row>
    <row r="16" spans="1:18" x14ac:dyDescent="0.2">
      <c r="A16" s="25" t="s">
        <v>4</v>
      </c>
      <c r="B16" s="3">
        <v>10</v>
      </c>
      <c r="C16" s="19">
        <v>530892</v>
      </c>
      <c r="D16" s="19">
        <v>727187</v>
      </c>
      <c r="E16" s="19">
        <v>2493.5700000000002</v>
      </c>
      <c r="F16" s="20">
        <f t="shared" si="2"/>
        <v>3.1462505519088482E-2</v>
      </c>
      <c r="G16" s="21">
        <f>G17*EXP(5*F16)+E16*EXP(2.5*F16)</f>
        <v>657560.22013593814</v>
      </c>
      <c r="H16" s="21">
        <f t="shared" ref="H16:H28" si="5">($D$5-$D$4)*0.2*SQRT(C15*D16)</f>
        <v>1336490.5089778977</v>
      </c>
      <c r="I16" s="12">
        <f t="shared" ref="I16:I28" si="6">G16/H16</f>
        <v>0.49200515508248371</v>
      </c>
      <c r="J16" s="23">
        <f t="shared" si="1"/>
        <v>4988.5457160886872</v>
      </c>
      <c r="K16" s="24">
        <f t="shared" si="4"/>
        <v>8.0287477414885827E-4</v>
      </c>
      <c r="N16" s="3">
        <v>70</v>
      </c>
      <c r="O16" s="8">
        <f t="shared" si="0"/>
        <v>0.38261816372699226</v>
      </c>
    </row>
    <row r="17" spans="1:11" x14ac:dyDescent="0.2">
      <c r="A17" s="25" t="s">
        <v>5</v>
      </c>
      <c r="B17" s="3">
        <v>15</v>
      </c>
      <c r="C17" s="19">
        <v>391001</v>
      </c>
      <c r="D17" s="19">
        <v>617666</v>
      </c>
      <c r="E17" s="19">
        <v>3652.04</v>
      </c>
      <c r="F17" s="20">
        <f t="shared" si="2"/>
        <v>4.5723774075900038E-2</v>
      </c>
      <c r="G17" s="21">
        <f t="shared" si="3"/>
        <v>559538.81955018186</v>
      </c>
      <c r="H17" s="21">
        <f t="shared" si="5"/>
        <v>1145275.4045590956</v>
      </c>
      <c r="I17" s="12">
        <f t="shared" si="6"/>
        <v>0.48856267874327686</v>
      </c>
      <c r="J17" s="23">
        <f t="shared" si="1"/>
        <v>7306.13878775592</v>
      </c>
      <c r="K17" s="24">
        <f t="shared" si="4"/>
        <v>1.486695872993586E-3</v>
      </c>
    </row>
    <row r="18" spans="1:11" x14ac:dyDescent="0.2">
      <c r="A18" s="25" t="s">
        <v>6</v>
      </c>
      <c r="B18" s="3">
        <v>20</v>
      </c>
      <c r="C18" s="19">
        <v>291006</v>
      </c>
      <c r="D18" s="19">
        <v>468307</v>
      </c>
      <c r="E18" s="19">
        <v>5853.97</v>
      </c>
      <c r="F18" s="20">
        <f t="shared" si="2"/>
        <v>4.7578017824525566E-2</v>
      </c>
      <c r="G18" s="21">
        <f t="shared" si="3"/>
        <v>441929.27676243888</v>
      </c>
      <c r="H18" s="21">
        <f t="shared" si="5"/>
        <v>855823.59235300357</v>
      </c>
      <c r="I18" s="12">
        <f t="shared" si="6"/>
        <v>0.51637893686407665</v>
      </c>
      <c r="J18" s="23">
        <f t="shared" si="1"/>
        <v>11711.240095771</v>
      </c>
      <c r="K18" s="24">
        <f t="shared" si="4"/>
        <v>3.1723901170490356E-3</v>
      </c>
    </row>
    <row r="19" spans="1:11" x14ac:dyDescent="0.2">
      <c r="A19" s="25" t="s">
        <v>7</v>
      </c>
      <c r="B19" s="3">
        <v>25</v>
      </c>
      <c r="C19" s="19">
        <v>243945</v>
      </c>
      <c r="D19" s="19">
        <v>336770</v>
      </c>
      <c r="E19" s="19">
        <v>8135.37</v>
      </c>
      <c r="F19" s="20">
        <f t="shared" si="2"/>
        <v>3.2245741471815477E-2</v>
      </c>
      <c r="G19" s="21">
        <f t="shared" si="3"/>
        <v>343170.64670654666</v>
      </c>
      <c r="H19" s="21">
        <f t="shared" si="5"/>
        <v>626105.7119049466</v>
      </c>
      <c r="I19" s="12">
        <f t="shared" si="6"/>
        <v>0.54810336366751711</v>
      </c>
      <c r="J19" s="23">
        <f t="shared" si="1"/>
        <v>16275.326203915038</v>
      </c>
      <c r="K19" s="24">
        <f t="shared" si="4"/>
        <v>5.6782831216478664E-3</v>
      </c>
    </row>
    <row r="20" spans="1:11" x14ac:dyDescent="0.2">
      <c r="A20" s="25" t="s">
        <v>8</v>
      </c>
      <c r="B20" s="3">
        <v>30</v>
      </c>
      <c r="C20" s="19">
        <v>185800</v>
      </c>
      <c r="D20" s="19">
        <v>280948</v>
      </c>
      <c r="E20" s="19">
        <v>9483.7900000000009</v>
      </c>
      <c r="F20" s="20">
        <f t="shared" si="2"/>
        <v>4.1349877244873511E-2</v>
      </c>
      <c r="G20" s="21">
        <f t="shared" si="3"/>
        <v>284566.36328692071</v>
      </c>
      <c r="H20" s="21">
        <f t="shared" si="5"/>
        <v>523587.08868725935</v>
      </c>
      <c r="I20" s="12">
        <f t="shared" si="6"/>
        <v>0.5434938512337788</v>
      </c>
      <c r="J20" s="23">
        <f t="shared" si="1"/>
        <v>18972.926357304881</v>
      </c>
      <c r="K20" s="24">
        <f t="shared" si="4"/>
        <v>8.3042132609831461E-3</v>
      </c>
    </row>
    <row r="21" spans="1:11" x14ac:dyDescent="0.2">
      <c r="A21" s="25" t="s">
        <v>9</v>
      </c>
      <c r="B21" s="3">
        <v>35</v>
      </c>
      <c r="C21" s="19">
        <v>148239</v>
      </c>
      <c r="D21" s="19">
        <v>230082</v>
      </c>
      <c r="E21" s="19">
        <v>8693.9699999999993</v>
      </c>
      <c r="F21" s="20">
        <f t="shared" si="2"/>
        <v>4.3960993098679402E-2</v>
      </c>
      <c r="G21" s="21">
        <f t="shared" si="3"/>
        <v>222863.65620465318</v>
      </c>
      <c r="H21" s="21">
        <f t="shared" si="5"/>
        <v>413517.76551920961</v>
      </c>
      <c r="I21" s="12">
        <f t="shared" si="6"/>
        <v>0.53894578368314439</v>
      </c>
      <c r="J21" s="23">
        <f t="shared" si="1"/>
        <v>17392.841107048753</v>
      </c>
      <c r="K21" s="24">
        <f t="shared" si="4"/>
        <v>9.417767599278426E-3</v>
      </c>
    </row>
    <row r="22" spans="1:11" x14ac:dyDescent="0.2">
      <c r="A22" s="25" t="s">
        <v>10</v>
      </c>
      <c r="B22" s="3">
        <v>40</v>
      </c>
      <c r="C22" s="19">
        <v>142356</v>
      </c>
      <c r="D22" s="19">
        <v>174815</v>
      </c>
      <c r="E22" s="19">
        <v>8485.65</v>
      </c>
      <c r="F22" s="20">
        <f t="shared" si="2"/>
        <v>2.053973094297783E-2</v>
      </c>
      <c r="G22" s="21">
        <f t="shared" si="3"/>
        <v>171098.04462037515</v>
      </c>
      <c r="H22" s="21">
        <f t="shared" si="5"/>
        <v>321959.00847778743</v>
      </c>
      <c r="I22" s="12">
        <f t="shared" si="6"/>
        <v>0.53142803933122296</v>
      </c>
      <c r="J22" s="23">
        <f t="shared" si="1"/>
        <v>16976.083669489111</v>
      </c>
      <c r="K22" s="24">
        <f t="shared" si="4"/>
        <v>1.0761189310686632E-2</v>
      </c>
    </row>
    <row r="23" spans="1:11" x14ac:dyDescent="0.2">
      <c r="A23" s="25" t="s">
        <v>11</v>
      </c>
      <c r="B23" s="3">
        <v>45</v>
      </c>
      <c r="C23" s="19">
        <v>116741</v>
      </c>
      <c r="D23" s="19">
        <v>145895</v>
      </c>
      <c r="E23" s="19">
        <v>8580.4500000000007</v>
      </c>
      <c r="F23" s="20">
        <f t="shared" si="2"/>
        <v>2.2292937911037307E-2</v>
      </c>
      <c r="G23" s="21">
        <f t="shared" si="3"/>
        <v>146337.76565669014</v>
      </c>
      <c r="H23" s="21">
        <f t="shared" si="5"/>
        <v>288229.27415514196</v>
      </c>
      <c r="I23" s="12">
        <f t="shared" si="6"/>
        <v>0.50771305616209739</v>
      </c>
      <c r="J23" s="23">
        <f t="shared" si="1"/>
        <v>17165.737111696555</v>
      </c>
      <c r="K23" s="24">
        <f t="shared" si="4"/>
        <v>1.3153173487443416E-2</v>
      </c>
    </row>
    <row r="24" spans="1:11" x14ac:dyDescent="0.2">
      <c r="A24" s="25" t="s">
        <v>12</v>
      </c>
      <c r="B24" s="3">
        <v>50</v>
      </c>
      <c r="C24" s="19">
        <v>112021</v>
      </c>
      <c r="D24" s="19">
        <v>133680</v>
      </c>
      <c r="E24" s="19">
        <v>11717.1</v>
      </c>
      <c r="F24" s="20">
        <f t="shared" si="2"/>
        <v>1.7676253056797174E-2</v>
      </c>
      <c r="G24" s="21">
        <f t="shared" si="3"/>
        <v>122787.17066427767</v>
      </c>
      <c r="H24" s="21">
        <f t="shared" si="5"/>
        <v>249847.4484960773</v>
      </c>
      <c r="I24" s="12">
        <f t="shared" si="6"/>
        <v>0.49144856752941979</v>
      </c>
      <c r="J24" s="23">
        <f t="shared" si="1"/>
        <v>23440.805355367109</v>
      </c>
      <c r="K24" s="24">
        <f t="shared" si="4"/>
        <v>1.9155327766212732E-2</v>
      </c>
    </row>
    <row r="25" spans="1:11" x14ac:dyDescent="0.2">
      <c r="A25" s="25" t="s">
        <v>13</v>
      </c>
      <c r="B25" s="3">
        <v>55</v>
      </c>
      <c r="C25" s="19">
        <v>67545</v>
      </c>
      <c r="D25" s="19">
        <v>95011</v>
      </c>
      <c r="E25" s="19">
        <v>10344.719999999999</v>
      </c>
      <c r="F25" s="20">
        <f t="shared" si="2"/>
        <v>3.4119863194949668E-2</v>
      </c>
      <c r="G25" s="21">
        <f t="shared" si="3"/>
        <v>101190.23644776396</v>
      </c>
      <c r="H25" s="21">
        <f t="shared" si="5"/>
        <v>206332.03562219805</v>
      </c>
      <c r="I25" s="12">
        <f t="shared" si="6"/>
        <v>0.49042426273081124</v>
      </c>
      <c r="J25" s="23">
        <f t="shared" si="1"/>
        <v>20695.271694853949</v>
      </c>
      <c r="K25" s="24">
        <f t="shared" si="4"/>
        <v>2.5833757869975226E-2</v>
      </c>
    </row>
    <row r="26" spans="1:11" x14ac:dyDescent="0.2">
      <c r="A26" s="25" t="s">
        <v>14</v>
      </c>
      <c r="B26" s="3">
        <v>60</v>
      </c>
      <c r="C26" s="19">
        <v>77016</v>
      </c>
      <c r="D26" s="19">
        <v>95811</v>
      </c>
      <c r="E26" s="19">
        <v>15025.25</v>
      </c>
      <c r="F26" s="20">
        <f t="shared" si="2"/>
        <v>2.1836430845651813E-2</v>
      </c>
      <c r="G26" s="21">
        <f t="shared" si="3"/>
        <v>75820.588063738905</v>
      </c>
      <c r="H26" s="21">
        <f t="shared" si="5"/>
        <v>160891.93882851931</v>
      </c>
      <c r="I26" s="12">
        <f t="shared" si="6"/>
        <v>0.47125162774344748</v>
      </c>
      <c r="J26" s="23">
        <f t="shared" si="1"/>
        <v>30058.970279824327</v>
      </c>
      <c r="K26" s="24">
        <f t="shared" si="4"/>
        <v>3.4992577498491099E-2</v>
      </c>
    </row>
    <row r="27" spans="1:11" x14ac:dyDescent="0.2">
      <c r="A27" s="25" t="s">
        <v>15</v>
      </c>
      <c r="B27" s="3">
        <v>65</v>
      </c>
      <c r="C27" s="19">
        <v>38894</v>
      </c>
      <c r="D27" s="19">
        <v>51363</v>
      </c>
      <c r="E27" s="19">
        <v>11024.41</v>
      </c>
      <c r="F27" s="20">
        <f t="shared" si="2"/>
        <v>2.7807807180809996E-2</v>
      </c>
      <c r="G27" s="21">
        <f t="shared" si="3"/>
        <v>53751.251414176702</v>
      </c>
      <c r="H27" s="21">
        <f t="shared" si="5"/>
        <v>125789.86935361687</v>
      </c>
      <c r="I27" s="12">
        <f t="shared" si="6"/>
        <v>0.42730985961256329</v>
      </c>
      <c r="J27" s="23">
        <f t="shared" si="1"/>
        <v>22055.034860824155</v>
      </c>
      <c r="K27" s="24">
        <f t="shared" si="4"/>
        <v>4.9344784045256496E-2</v>
      </c>
    </row>
    <row r="28" spans="1:11" x14ac:dyDescent="0.2">
      <c r="A28" s="25" t="s">
        <v>16</v>
      </c>
      <c r="B28" s="3">
        <v>70</v>
      </c>
      <c r="C28" s="19">
        <v>29874</v>
      </c>
      <c r="D28" s="19">
        <v>58462</v>
      </c>
      <c r="E28" s="19">
        <v>12145.24</v>
      </c>
      <c r="F28" s="20">
        <f t="shared" si="2"/>
        <v>6.7138843363641815E-2</v>
      </c>
      <c r="G28" s="21">
        <f>G29*EXP(5*F28)+E28*EXP(2.5*F28)</f>
        <v>36489.98778565559</v>
      </c>
      <c r="H28" s="21">
        <f t="shared" si="5"/>
        <v>95369.198969059187</v>
      </c>
      <c r="I28" s="12">
        <f t="shared" si="6"/>
        <v>0.38261816372699226</v>
      </c>
      <c r="J28" s="23">
        <f t="shared" si="1"/>
        <v>24297.326713454593</v>
      </c>
      <c r="K28" s="24">
        <f t="shared" si="4"/>
        <v>5.8139992421673663E-2</v>
      </c>
    </row>
    <row r="29" spans="1:11" x14ac:dyDescent="0.2">
      <c r="A29" s="25" t="s">
        <v>47</v>
      </c>
      <c r="B29" s="3">
        <v>75</v>
      </c>
      <c r="C29" s="19">
        <v>39495</v>
      </c>
      <c r="D29" s="19">
        <v>52190</v>
      </c>
      <c r="E29" s="19">
        <v>13347.73</v>
      </c>
      <c r="F29" s="20">
        <f t="shared" si="2"/>
        <v>2.7871682403893944E-2</v>
      </c>
      <c r="G29" s="21">
        <f>F34</f>
        <v>15815.968335006231</v>
      </c>
      <c r="H29" s="22" t="s">
        <v>20</v>
      </c>
      <c r="I29" s="22" t="s">
        <v>20</v>
      </c>
      <c r="J29" s="23">
        <f t="shared" si="1"/>
        <v>26702.98460079663</v>
      </c>
      <c r="K29" s="24">
        <f t="shared" si="4"/>
        <v>5.8815947511411143E-2</v>
      </c>
    </row>
    <row r="30" spans="1:11" x14ac:dyDescent="0.2">
      <c r="A30" s="25"/>
      <c r="C30" s="19"/>
      <c r="D30" s="19"/>
      <c r="E30" s="19"/>
      <c r="F30" s="26"/>
      <c r="G30" s="21"/>
      <c r="H30" s="22"/>
      <c r="I30" s="22"/>
      <c r="J30" s="24"/>
    </row>
    <row r="31" spans="1:11" ht="12" thickBot="1" x14ac:dyDescent="0.25">
      <c r="A31" s="25" t="s">
        <v>79</v>
      </c>
      <c r="C31" s="21">
        <f>SUM(C14:C29)</f>
        <v>3673622</v>
      </c>
      <c r="D31" s="21">
        <f>SUM(D14:D29)</f>
        <v>5083538</v>
      </c>
      <c r="E31" s="21">
        <f>SUM(E14:E29)</f>
        <v>178827.72999999998</v>
      </c>
      <c r="G31" s="21"/>
      <c r="J31" s="23">
        <f>SUM(J14:J29)</f>
        <v>357756.27169454424</v>
      </c>
    </row>
    <row r="32" spans="1:11" ht="12" thickBot="1" x14ac:dyDescent="0.25">
      <c r="A32" s="25"/>
      <c r="B32" s="17" t="s">
        <v>81</v>
      </c>
      <c r="C32" s="5">
        <f>F2</f>
        <v>6.24</v>
      </c>
      <c r="D32" s="19"/>
      <c r="E32" s="17" t="s">
        <v>84</v>
      </c>
      <c r="F32" s="27">
        <f>EXP(F29*C32)</f>
        <v>1.1899595300696368</v>
      </c>
      <c r="G32" s="60">
        <v>3</v>
      </c>
      <c r="H32" s="6" t="s">
        <v>35</v>
      </c>
      <c r="I32" s="12">
        <f>MEDIAN(I15:I28)</f>
        <v>0.49985910562229052</v>
      </c>
    </row>
    <row r="33" spans="1:11" ht="12" thickBot="1" x14ac:dyDescent="0.25">
      <c r="E33" s="17" t="s">
        <v>85</v>
      </c>
      <c r="F33" s="27">
        <f>((F29*C32)^2)/6</f>
        <v>5.0413203810807097E-3</v>
      </c>
      <c r="G33" s="60">
        <v>4</v>
      </c>
      <c r="H33" s="6" t="s">
        <v>50</v>
      </c>
      <c r="I33" s="12">
        <f>0.5*(QUARTILE(I15:I28,3)-QUARTILE(I15:I28,1))</f>
        <v>2.0373542503036718E-2</v>
      </c>
    </row>
    <row r="34" spans="1:11" ht="12" thickBot="1" x14ac:dyDescent="0.25">
      <c r="E34" s="17" t="s">
        <v>86</v>
      </c>
      <c r="F34" s="28">
        <f>E29*(F32-F33)</f>
        <v>15815.968335006231</v>
      </c>
      <c r="G34" s="60">
        <v>5</v>
      </c>
      <c r="H34" s="3" t="s">
        <v>51</v>
      </c>
      <c r="I34" s="13">
        <f>100*I33/I32</f>
        <v>4.0758570312874554</v>
      </c>
    </row>
    <row r="35" spans="1:11" x14ac:dyDescent="0.2">
      <c r="A35" s="14"/>
      <c r="B35" s="14"/>
      <c r="C35" s="14"/>
      <c r="D35" s="15"/>
      <c r="E35" s="14"/>
      <c r="F35" s="14"/>
      <c r="G35" s="16"/>
      <c r="H35" s="14"/>
      <c r="I35" s="14"/>
      <c r="J35" s="14"/>
      <c r="K35" s="14"/>
    </row>
    <row r="37" spans="1:11" x14ac:dyDescent="0.2">
      <c r="B37" s="25"/>
    </row>
    <row r="39" spans="1:11" x14ac:dyDescent="0.2">
      <c r="C39" s="6"/>
    </row>
    <row r="40" spans="1:11" x14ac:dyDescent="0.2">
      <c r="C40" s="25"/>
    </row>
  </sheetData>
  <printOptions gridLines="1"/>
  <pageMargins left="0.75" right="0.75" top="1" bottom="1" header="0.5" footer="0.5"/>
  <pageSetup orientation="landscape" horizontalDpi="300" verticalDpi="300" r:id="rId1"/>
  <headerFooter alignWithMargins="0">
    <oddHeader>&amp;A</oddHead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6"/>
  <sheetViews>
    <sheetView workbookViewId="0">
      <selection activeCell="F34" sqref="F34"/>
    </sheetView>
  </sheetViews>
  <sheetFormatPr defaultColWidth="9.109375" defaultRowHeight="11.4" x14ac:dyDescent="0.2"/>
  <cols>
    <col min="1" max="1" width="7.33203125" style="3" customWidth="1"/>
    <col min="2" max="2" width="8.88671875" style="3" customWidth="1"/>
    <col min="3" max="3" width="9.6640625" style="3" bestFit="1" customWidth="1"/>
    <col min="4" max="4" width="5.33203125" style="3" customWidth="1"/>
    <col min="5" max="5" width="9.6640625" style="3" customWidth="1"/>
    <col min="6" max="6" width="8.6640625" style="3" customWidth="1"/>
    <col min="7" max="7" width="9.44140625" style="3" bestFit="1" customWidth="1"/>
    <col min="8" max="8" width="8.5546875" style="3" customWidth="1"/>
    <col min="9" max="9" width="6" style="3" customWidth="1"/>
    <col min="10" max="13" width="5.6640625" style="3" customWidth="1"/>
    <col min="14" max="16" width="9.109375" style="3"/>
    <col min="17" max="17" width="9.109375" style="29"/>
    <col min="18" max="18" width="9.109375" style="8"/>
    <col min="19" max="16384" width="9.109375" style="3"/>
  </cols>
  <sheetData>
    <row r="1" spans="1:18" ht="12" x14ac:dyDescent="0.25">
      <c r="A1" s="2" t="s">
        <v>96</v>
      </c>
    </row>
    <row r="2" spans="1:18" x14ac:dyDescent="0.2">
      <c r="B2" s="30"/>
      <c r="F2" s="3" t="s">
        <v>73</v>
      </c>
      <c r="G2" s="31">
        <f>Worksheet!C4</f>
        <v>30181</v>
      </c>
      <c r="H2" s="11">
        <f>Worksheet!D4</f>
        <v>1982.63</v>
      </c>
      <c r="Q2" s="32"/>
      <c r="R2" s="7"/>
    </row>
    <row r="3" spans="1:18" s="33" customFormat="1" x14ac:dyDescent="0.2">
      <c r="A3" s="33" t="s">
        <v>74</v>
      </c>
      <c r="B3" s="30" t="str">
        <f>Worksheet!C3</f>
        <v>Male</v>
      </c>
      <c r="F3" s="33" t="s">
        <v>75</v>
      </c>
      <c r="G3" s="31">
        <f>Worksheet!C5</f>
        <v>33834</v>
      </c>
      <c r="H3" s="11">
        <f>Worksheet!D5</f>
        <v>1992.63</v>
      </c>
      <c r="Q3" s="32"/>
      <c r="R3" s="34"/>
    </row>
    <row r="4" spans="1:18" x14ac:dyDescent="0.2">
      <c r="A4" s="3" t="s">
        <v>72</v>
      </c>
      <c r="B4" s="5">
        <f>Worksheet!F2</f>
        <v>6.24</v>
      </c>
      <c r="D4" s="35"/>
      <c r="E4" s="6"/>
      <c r="G4" s="30"/>
      <c r="H4" s="11"/>
      <c r="Q4" s="32"/>
      <c r="R4" s="34"/>
    </row>
    <row r="5" spans="1:18" x14ac:dyDescent="0.2">
      <c r="A5" s="36"/>
      <c r="B5" s="36"/>
      <c r="C5" s="36"/>
      <c r="D5" s="14"/>
      <c r="E5" s="14"/>
      <c r="F5" s="14"/>
      <c r="G5" s="16"/>
      <c r="H5" s="14"/>
      <c r="I5" s="14"/>
      <c r="Q5" s="32"/>
      <c r="R5" s="34"/>
    </row>
    <row r="6" spans="1:18" x14ac:dyDescent="0.2">
      <c r="A6" s="37"/>
      <c r="B6" s="6" t="s">
        <v>54</v>
      </c>
      <c r="C6" s="6" t="s">
        <v>52</v>
      </c>
      <c r="D6" s="6"/>
      <c r="E6" s="6"/>
      <c r="F6" s="6"/>
      <c r="G6" s="6"/>
      <c r="Q6" s="32"/>
      <c r="R6" s="34"/>
    </row>
    <row r="7" spans="1:18" x14ac:dyDescent="0.2">
      <c r="B7" s="6" t="s">
        <v>53</v>
      </c>
      <c r="C7" s="6" t="s">
        <v>53</v>
      </c>
      <c r="D7" s="6"/>
      <c r="Q7" s="32"/>
      <c r="R7" s="34"/>
    </row>
    <row r="8" spans="1:18" x14ac:dyDescent="0.2">
      <c r="A8" s="6" t="s">
        <v>0</v>
      </c>
      <c r="B8" s="6" t="s">
        <v>19</v>
      </c>
      <c r="C8" s="6" t="s">
        <v>19</v>
      </c>
      <c r="D8" s="6" t="s">
        <v>0</v>
      </c>
      <c r="E8" s="6"/>
      <c r="M8" s="6"/>
      <c r="Q8" s="32"/>
      <c r="R8" s="34"/>
    </row>
    <row r="9" spans="1:18" x14ac:dyDescent="0.2">
      <c r="A9" s="6" t="s">
        <v>1</v>
      </c>
      <c r="B9" s="8">
        <f>H4</f>
        <v>0</v>
      </c>
      <c r="C9" s="38" t="s">
        <v>80</v>
      </c>
      <c r="D9" s="6" t="s">
        <v>40</v>
      </c>
      <c r="E9" s="17" t="s">
        <v>55</v>
      </c>
      <c r="F9" s="17" t="s">
        <v>56</v>
      </c>
      <c r="G9" s="17" t="s">
        <v>57</v>
      </c>
      <c r="H9" s="17" t="s">
        <v>58</v>
      </c>
      <c r="I9" s="17" t="s">
        <v>59</v>
      </c>
      <c r="J9" s="17"/>
      <c r="K9" s="17"/>
      <c r="L9" s="17"/>
      <c r="M9" s="17"/>
      <c r="Q9" s="32"/>
      <c r="R9" s="34"/>
    </row>
    <row r="10" spans="1:18" x14ac:dyDescent="0.2">
      <c r="A10" s="25" t="s">
        <v>22</v>
      </c>
      <c r="B10" s="25" t="s">
        <v>23</v>
      </c>
      <c r="C10" s="25" t="s">
        <v>24</v>
      </c>
      <c r="D10" s="25" t="s">
        <v>25</v>
      </c>
      <c r="E10" s="25" t="s">
        <v>26</v>
      </c>
      <c r="F10" s="25" t="s">
        <v>27</v>
      </c>
      <c r="G10" s="25" t="s">
        <v>28</v>
      </c>
      <c r="H10" s="25" t="s">
        <v>29</v>
      </c>
      <c r="I10" s="25" t="s">
        <v>30</v>
      </c>
      <c r="J10" s="25"/>
      <c r="K10" s="25"/>
      <c r="L10" s="25"/>
      <c r="M10" s="25"/>
      <c r="Q10" s="32"/>
      <c r="R10" s="34"/>
    </row>
    <row r="11" spans="1:18" x14ac:dyDescent="0.2">
      <c r="C11" s="39">
        <v>1</v>
      </c>
      <c r="J11" s="25"/>
      <c r="Q11" s="32"/>
      <c r="R11" s="34"/>
    </row>
    <row r="12" spans="1:18" x14ac:dyDescent="0.2">
      <c r="A12" s="6" t="s">
        <v>2</v>
      </c>
      <c r="B12" s="40">
        <f>Worksheet!K14</f>
        <v>1.3091080822406575E-2</v>
      </c>
      <c r="C12" s="6" t="s">
        <v>20</v>
      </c>
      <c r="D12" s="6">
        <v>0</v>
      </c>
      <c r="E12" s="6" t="s">
        <v>20</v>
      </c>
      <c r="F12" s="6" t="s">
        <v>20</v>
      </c>
      <c r="G12" s="6" t="s">
        <v>20</v>
      </c>
      <c r="H12" s="6" t="s">
        <v>20</v>
      </c>
      <c r="I12" s="6" t="s">
        <v>20</v>
      </c>
      <c r="J12" s="6"/>
      <c r="K12" s="6"/>
      <c r="L12" s="6"/>
      <c r="M12" s="32"/>
      <c r="Q12" s="32"/>
      <c r="R12" s="34"/>
    </row>
    <row r="13" spans="1:18" x14ac:dyDescent="0.2">
      <c r="A13" s="25" t="s">
        <v>3</v>
      </c>
      <c r="B13" s="40">
        <f>Worksheet!K15</f>
        <v>8.722553365510294E-4</v>
      </c>
      <c r="C13" s="41">
        <f t="shared" ref="C13:C26" si="0">B13*C$11</f>
        <v>8.722553365510294E-4</v>
      </c>
      <c r="D13" s="25" t="s">
        <v>60</v>
      </c>
      <c r="E13" s="42">
        <f t="shared" ref="E13:E26" si="1">(5*C13)/(1-2.5*C13)</f>
        <v>4.3708078339005441E-3</v>
      </c>
      <c r="F13" s="26">
        <v>1</v>
      </c>
      <c r="G13" s="43">
        <f t="shared" ref="G13:G25" si="2">(5/2)*SUM(F13:F14)</f>
        <v>4.9890729804152487</v>
      </c>
      <c r="H13" s="26">
        <f>$H$27+SUM(G13:$G$26)</f>
        <v>55.859943169865218</v>
      </c>
      <c r="I13" s="13">
        <f t="shared" ref="I13:I26" si="3">H13/F13</f>
        <v>55.859943169865218</v>
      </c>
      <c r="J13" s="13"/>
      <c r="K13" s="13"/>
      <c r="L13" s="13"/>
      <c r="M13" s="32"/>
      <c r="Q13" s="32"/>
      <c r="R13" s="34"/>
    </row>
    <row r="14" spans="1:18" x14ac:dyDescent="0.2">
      <c r="A14" s="25" t="s">
        <v>4</v>
      </c>
      <c r="B14" s="40">
        <f>Worksheet!K16</f>
        <v>8.0287477414885827E-4</v>
      </c>
      <c r="C14" s="41">
        <f t="shared" si="0"/>
        <v>8.0287477414885827E-4</v>
      </c>
      <c r="D14" s="25" t="s">
        <v>61</v>
      </c>
      <c r="E14" s="42">
        <f t="shared" si="1"/>
        <v>4.0224476751661029E-3</v>
      </c>
      <c r="F14" s="26">
        <f t="shared" ref="F14:F27" si="4">F13*(1-E13)</f>
        <v>0.99562919216609946</v>
      </c>
      <c r="G14" s="43">
        <f t="shared" si="2"/>
        <v>4.9681337950071072</v>
      </c>
      <c r="H14" s="26">
        <f>$H$27+SUM(G14:$G$26)</f>
        <v>50.870870189449967</v>
      </c>
      <c r="I14" s="13">
        <f t="shared" si="3"/>
        <v>51.094193088869623</v>
      </c>
      <c r="J14" s="13"/>
      <c r="K14" s="13"/>
      <c r="L14" s="13"/>
      <c r="M14" s="32"/>
      <c r="Q14" s="32"/>
      <c r="R14" s="34"/>
    </row>
    <row r="15" spans="1:18" x14ac:dyDescent="0.2">
      <c r="A15" s="25" t="s">
        <v>5</v>
      </c>
      <c r="B15" s="40">
        <f>Worksheet!K17</f>
        <v>1.486695872993586E-3</v>
      </c>
      <c r="C15" s="41">
        <f t="shared" si="0"/>
        <v>1.486695872993586E-3</v>
      </c>
      <c r="D15" s="6">
        <v>15</v>
      </c>
      <c r="E15" s="42">
        <f t="shared" si="1"/>
        <v>7.461210743015873E-3</v>
      </c>
      <c r="F15" s="26">
        <f t="shared" si="4"/>
        <v>0.99162432583674343</v>
      </c>
      <c r="G15" s="43">
        <f t="shared" si="2"/>
        <v>4.9396248340012949</v>
      </c>
      <c r="H15" s="26">
        <f>$H$27+SUM(G15:$G$26)</f>
        <v>45.902736394442861</v>
      </c>
      <c r="I15" s="13">
        <f t="shared" si="3"/>
        <v>46.290450121531286</v>
      </c>
      <c r="J15" s="13"/>
      <c r="K15" s="13"/>
      <c r="L15" s="13"/>
      <c r="M15" s="32"/>
      <c r="Q15" s="32"/>
      <c r="R15" s="34"/>
    </row>
    <row r="16" spans="1:18" x14ac:dyDescent="0.2">
      <c r="A16" s="25" t="s">
        <v>6</v>
      </c>
      <c r="B16" s="40">
        <f>Worksheet!K18</f>
        <v>3.1723901170490356E-3</v>
      </c>
      <c r="C16" s="41">
        <f t="shared" si="0"/>
        <v>3.1723901170490356E-3</v>
      </c>
      <c r="D16" s="25" t="s">
        <v>62</v>
      </c>
      <c r="E16" s="42">
        <f t="shared" si="1"/>
        <v>1.5988757022147575E-2</v>
      </c>
      <c r="F16" s="26">
        <f t="shared" si="4"/>
        <v>0.98422560776377443</v>
      </c>
      <c r="G16" s="43">
        <f t="shared" si="2"/>
        <v>4.8817866785750965</v>
      </c>
      <c r="H16" s="26">
        <f>$H$27+SUM(G16:$G$26)</f>
        <v>40.963111560441568</v>
      </c>
      <c r="I16" s="13">
        <f t="shared" si="3"/>
        <v>41.619636023810095</v>
      </c>
      <c r="J16" s="13"/>
      <c r="K16" s="13"/>
      <c r="L16" s="13"/>
      <c r="M16" s="32"/>
      <c r="Q16" s="32"/>
      <c r="R16" s="34"/>
    </row>
    <row r="17" spans="1:18" x14ac:dyDescent="0.2">
      <c r="A17" s="25" t="s">
        <v>7</v>
      </c>
      <c r="B17" s="40">
        <f>Worksheet!K19</f>
        <v>5.6782831216478664E-3</v>
      </c>
      <c r="C17" s="41">
        <f t="shared" si="0"/>
        <v>5.6782831216478664E-3</v>
      </c>
      <c r="D17" s="25" t="s">
        <v>63</v>
      </c>
      <c r="E17" s="42">
        <f t="shared" si="1"/>
        <v>2.8800255621729356E-2</v>
      </c>
      <c r="F17" s="26">
        <f t="shared" si="4"/>
        <v>0.96848906366626397</v>
      </c>
      <c r="G17" s="43">
        <f t="shared" si="2"/>
        <v>4.7727134868302254</v>
      </c>
      <c r="H17" s="26">
        <f>$H$27+SUM(G17:$G$26)</f>
        <v>36.081324881866472</v>
      </c>
      <c r="I17" s="13">
        <f t="shared" si="3"/>
        <v>37.25527343104816</v>
      </c>
      <c r="J17" s="13"/>
      <c r="K17" s="13"/>
      <c r="L17" s="13"/>
      <c r="M17" s="32"/>
      <c r="Q17" s="32"/>
      <c r="R17" s="34"/>
    </row>
    <row r="18" spans="1:18" x14ac:dyDescent="0.2">
      <c r="A18" s="25" t="s">
        <v>8</v>
      </c>
      <c r="B18" s="40">
        <f>Worksheet!K20</f>
        <v>8.3042132609831461E-3</v>
      </c>
      <c r="C18" s="41">
        <f t="shared" si="0"/>
        <v>8.3042132609831461E-3</v>
      </c>
      <c r="D18" s="6">
        <v>30</v>
      </c>
      <c r="E18" s="42">
        <f t="shared" si="1"/>
        <v>4.240134074516437E-2</v>
      </c>
      <c r="F18" s="26">
        <f t="shared" si="4"/>
        <v>0.94059633106582619</v>
      </c>
      <c r="G18" s="43">
        <f t="shared" si="2"/>
        <v>4.603275291486197</v>
      </c>
      <c r="H18" s="26">
        <f>$H$27+SUM(G18:$G$26)</f>
        <v>31.308611395036245</v>
      </c>
      <c r="I18" s="13">
        <f t="shared" si="3"/>
        <v>33.285916987959375</v>
      </c>
      <c r="J18" s="13"/>
      <c r="K18" s="13"/>
      <c r="L18" s="13"/>
      <c r="M18" s="32"/>
      <c r="Q18" s="32"/>
    </row>
    <row r="19" spans="1:18" x14ac:dyDescent="0.2">
      <c r="A19" s="25" t="s">
        <v>9</v>
      </c>
      <c r="B19" s="40">
        <f>Worksheet!K21</f>
        <v>9.417767599278426E-3</v>
      </c>
      <c r="C19" s="41">
        <f t="shared" si="0"/>
        <v>9.417767599278426E-3</v>
      </c>
      <c r="D19" s="25" t="s">
        <v>64</v>
      </c>
      <c r="E19" s="42">
        <f t="shared" si="1"/>
        <v>4.8224249942922015E-2</v>
      </c>
      <c r="F19" s="26">
        <f t="shared" si="4"/>
        <v>0.90071378552865267</v>
      </c>
      <c r="G19" s="43">
        <f t="shared" si="2"/>
        <v>4.3949783108423404</v>
      </c>
      <c r="H19" s="26">
        <f>$H$27+SUM(G19:$G$26)</f>
        <v>26.705336103550046</v>
      </c>
      <c r="I19" s="13">
        <f t="shared" si="3"/>
        <v>29.649081131667124</v>
      </c>
      <c r="J19" s="13"/>
      <c r="K19" s="13"/>
      <c r="L19" s="13"/>
      <c r="M19" s="32"/>
    </row>
    <row r="20" spans="1:18" x14ac:dyDescent="0.2">
      <c r="A20" s="25" t="s">
        <v>10</v>
      </c>
      <c r="B20" s="40">
        <f>Worksheet!K22</f>
        <v>1.0761189310686632E-2</v>
      </c>
      <c r="C20" s="41">
        <f t="shared" si="0"/>
        <v>1.0761189310686632E-2</v>
      </c>
      <c r="D20" s="25" t="s">
        <v>65</v>
      </c>
      <c r="E20" s="42">
        <f t="shared" si="1"/>
        <v>5.5293506275128912E-2</v>
      </c>
      <c r="F20" s="26">
        <f t="shared" si="4"/>
        <v>0.8572775388082835</v>
      </c>
      <c r="G20" s="43">
        <f t="shared" si="2"/>
        <v>4.1678829916123608</v>
      </c>
      <c r="H20" s="26">
        <f>$H$27+SUM(G20:$G$26)</f>
        <v>22.310357792707705</v>
      </c>
      <c r="I20" s="13">
        <f t="shared" si="3"/>
        <v>26.024661539274344</v>
      </c>
      <c r="J20" s="13"/>
      <c r="K20" s="13"/>
      <c r="L20" s="13"/>
      <c r="M20" s="32"/>
    </row>
    <row r="21" spans="1:18" x14ac:dyDescent="0.2">
      <c r="A21" s="25" t="s">
        <v>11</v>
      </c>
      <c r="B21" s="40">
        <f>Worksheet!K23</f>
        <v>1.3153173487443416E-2</v>
      </c>
      <c r="C21" s="41">
        <f t="shared" si="0"/>
        <v>1.3153173487443416E-2</v>
      </c>
      <c r="D21" s="6">
        <v>45</v>
      </c>
      <c r="E21" s="42">
        <f t="shared" si="1"/>
        <v>6.8001971767585268E-2</v>
      </c>
      <c r="F21" s="26">
        <f t="shared" si="4"/>
        <v>0.8098756578366606</v>
      </c>
      <c r="G21" s="43">
        <f t="shared" si="2"/>
        <v>3.9116954351346451</v>
      </c>
      <c r="H21" s="26">
        <f>$H$27+SUM(G21:$G$26)</f>
        <v>18.142474801095346</v>
      </c>
      <c r="I21" s="13">
        <f t="shared" si="3"/>
        <v>22.401555875327226</v>
      </c>
      <c r="J21" s="13"/>
      <c r="K21" s="13"/>
      <c r="L21" s="13"/>
      <c r="M21" s="32"/>
    </row>
    <row r="22" spans="1:18" x14ac:dyDescent="0.2">
      <c r="A22" s="25" t="s">
        <v>12</v>
      </c>
      <c r="B22" s="40">
        <f>Worksheet!K24</f>
        <v>1.9155327766212732E-2</v>
      </c>
      <c r="C22" s="41">
        <f t="shared" si="0"/>
        <v>1.9155327766212732E-2</v>
      </c>
      <c r="D22" s="25" t="s">
        <v>66</v>
      </c>
      <c r="E22" s="42">
        <f t="shared" si="1"/>
        <v>0.10059391223125182</v>
      </c>
      <c r="F22" s="26">
        <f t="shared" si="4"/>
        <v>0.75480251621719741</v>
      </c>
      <c r="G22" s="43">
        <f t="shared" si="2"/>
        <v>3.5841912359152852</v>
      </c>
      <c r="H22" s="26">
        <f>$H$27+SUM(G22:$G$26)</f>
        <v>14.230779365960702</v>
      </c>
      <c r="I22" s="13">
        <f t="shared" si="3"/>
        <v>18.853645901023651</v>
      </c>
      <c r="J22" s="13"/>
      <c r="K22" s="13"/>
      <c r="L22" s="13"/>
      <c r="M22" s="32"/>
    </row>
    <row r="23" spans="1:18" x14ac:dyDescent="0.2">
      <c r="A23" s="25" t="s">
        <v>13</v>
      </c>
      <c r="B23" s="40">
        <f>Worksheet!K25</f>
        <v>2.5833757869975226E-2</v>
      </c>
      <c r="C23" s="41">
        <f t="shared" si="0"/>
        <v>2.5833757869975226E-2</v>
      </c>
      <c r="D23" s="25" t="s">
        <v>67</v>
      </c>
      <c r="E23" s="42">
        <f t="shared" si="1"/>
        <v>0.13808705843109095</v>
      </c>
      <c r="F23" s="26">
        <f t="shared" si="4"/>
        <v>0.67887397814891659</v>
      </c>
      <c r="G23" s="43">
        <f t="shared" si="2"/>
        <v>3.1600106140245914</v>
      </c>
      <c r="H23" s="26">
        <f>$H$27+SUM(G23:$G$26)</f>
        <v>10.646588130045416</v>
      </c>
      <c r="I23" s="13">
        <f t="shared" si="3"/>
        <v>15.682716487492174</v>
      </c>
      <c r="J23" s="13"/>
      <c r="K23" s="13"/>
      <c r="L23" s="13"/>
      <c r="M23" s="32"/>
    </row>
    <row r="24" spans="1:18" x14ac:dyDescent="0.2">
      <c r="A24" s="25" t="s">
        <v>14</v>
      </c>
      <c r="B24" s="40">
        <f>Worksheet!K26</f>
        <v>3.4992577498491099E-2</v>
      </c>
      <c r="C24" s="41">
        <f t="shared" si="0"/>
        <v>3.4992577498491099E-2</v>
      </c>
      <c r="D24" s="25" t="s">
        <v>68</v>
      </c>
      <c r="E24" s="42">
        <f t="shared" si="1"/>
        <v>0.19173625160100105</v>
      </c>
      <c r="F24" s="26">
        <f t="shared" si="4"/>
        <v>0.58513026746092001</v>
      </c>
      <c r="G24" s="43">
        <f t="shared" si="2"/>
        <v>2.64517462685148</v>
      </c>
      <c r="H24" s="26">
        <f>$H$27+SUM(G24:$G$26)</f>
        <v>7.4865775160208248</v>
      </c>
      <c r="I24" s="13">
        <f t="shared" si="3"/>
        <v>12.794719282780637</v>
      </c>
      <c r="J24" s="13"/>
      <c r="K24" s="13"/>
      <c r="L24" s="13"/>
      <c r="M24" s="32"/>
    </row>
    <row r="25" spans="1:18" x14ac:dyDescent="0.2">
      <c r="A25" s="25" t="s">
        <v>15</v>
      </c>
      <c r="B25" s="40">
        <f>Worksheet!K27</f>
        <v>4.9344784045256496E-2</v>
      </c>
      <c r="C25" s="41">
        <f t="shared" si="0"/>
        <v>4.9344784045256496E-2</v>
      </c>
      <c r="D25" s="25" t="s">
        <v>69</v>
      </c>
      <c r="E25" s="42">
        <f t="shared" si="1"/>
        <v>0.28144331982003123</v>
      </c>
      <c r="F25" s="26">
        <f t="shared" si="4"/>
        <v>0.472939583279672</v>
      </c>
      <c r="G25" s="43">
        <f t="shared" si="2"/>
        <v>2.0319337004170275</v>
      </c>
      <c r="H25" s="26">
        <f>$H$27+SUM(G25:$G$26)</f>
        <v>4.8414028891693448</v>
      </c>
      <c r="I25" s="13">
        <f t="shared" si="3"/>
        <v>10.236831638400606</v>
      </c>
      <c r="J25" s="13"/>
      <c r="K25" s="13"/>
      <c r="L25" s="13"/>
      <c r="M25" s="32"/>
    </row>
    <row r="26" spans="1:18" x14ac:dyDescent="0.2">
      <c r="A26" s="25" t="s">
        <v>16</v>
      </c>
      <c r="B26" s="40">
        <f>Worksheet!K28</f>
        <v>5.8139992421673663E-2</v>
      </c>
      <c r="C26" s="41">
        <f t="shared" si="0"/>
        <v>5.8139992421673663E-2</v>
      </c>
      <c r="D26" s="25" t="s">
        <v>70</v>
      </c>
      <c r="E26" s="42">
        <f t="shared" si="1"/>
        <v>0.34013918640865137</v>
      </c>
      <c r="F26" s="26">
        <f t="shared" si="4"/>
        <v>0.339833896887139</v>
      </c>
      <c r="G26" s="43">
        <f>5*AVERAGE(F26:F27)</f>
        <v>1.4101924214325126</v>
      </c>
      <c r="H26" s="26">
        <f>$H$27+SUM(G26:$G$26)</f>
        <v>2.8094691887523169</v>
      </c>
      <c r="I26" s="13">
        <f t="shared" si="3"/>
        <v>8.2671835107883886</v>
      </c>
      <c r="J26" s="13"/>
      <c r="K26" s="13"/>
      <c r="L26" s="13"/>
      <c r="M26" s="32"/>
    </row>
    <row r="27" spans="1:18" x14ac:dyDescent="0.2">
      <c r="A27" s="25" t="s">
        <v>47</v>
      </c>
      <c r="B27" s="40">
        <f>Worksheet!K29</f>
        <v>5.8815947511411143E-2</v>
      </c>
      <c r="C27" s="41" t="s">
        <v>20</v>
      </c>
      <c r="D27" s="25" t="s">
        <v>71</v>
      </c>
      <c r="E27" s="42">
        <v>1</v>
      </c>
      <c r="F27" s="26">
        <f t="shared" si="4"/>
        <v>0.22424307168586602</v>
      </c>
      <c r="G27" s="43" t="s">
        <v>20</v>
      </c>
      <c r="H27" s="43">
        <f>I27*F27</f>
        <v>1.3992767673198041</v>
      </c>
      <c r="I27" s="44">
        <f>Worksheet!F2</f>
        <v>6.24</v>
      </c>
      <c r="J27" s="43"/>
      <c r="K27" s="43"/>
      <c r="L27" s="43"/>
      <c r="M27" s="32"/>
    </row>
    <row r="28" spans="1:18" x14ac:dyDescent="0.2">
      <c r="A28" s="36"/>
      <c r="B28" s="36"/>
      <c r="C28" s="36"/>
      <c r="D28" s="14"/>
      <c r="E28" s="14"/>
      <c r="F28" s="14"/>
      <c r="G28" s="16"/>
      <c r="H28" s="14"/>
      <c r="I28" s="14"/>
    </row>
    <row r="55" spans="1:3" x14ac:dyDescent="0.2">
      <c r="A55" s="6"/>
      <c r="B55" s="6"/>
      <c r="C55" s="6"/>
    </row>
    <row r="64" spans="1:3" x14ac:dyDescent="0.2">
      <c r="A64" s="6"/>
      <c r="B64" s="6"/>
    </row>
    <row r="81" spans="1:3" x14ac:dyDescent="0.2">
      <c r="C81" s="6"/>
    </row>
    <row r="87" spans="1:3" x14ac:dyDescent="0.2">
      <c r="A87" s="6"/>
      <c r="B87" s="6"/>
    </row>
    <row r="96" spans="1:3" x14ac:dyDescent="0.2">
      <c r="A96" s="6"/>
      <c r="B96" s="6"/>
    </row>
  </sheetData>
  <printOptions gridLines="1"/>
  <pageMargins left="0.75" right="0.75" top="1" bottom="1" header="0.5" footer="0.5"/>
  <pageSetup scale="99" orientation="landscape" horizontalDpi="4294967292" verticalDpi="300" r:id="rId1"/>
  <headerFooter alignWithMargins="0">
    <oddHeader>&amp;A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workbookViewId="0">
      <selection activeCell="B13" sqref="B13:D28"/>
    </sheetView>
  </sheetViews>
  <sheetFormatPr defaultColWidth="9.109375" defaultRowHeight="11.4" x14ac:dyDescent="0.2"/>
  <cols>
    <col min="1" max="1" width="9.109375" style="46"/>
    <col min="2" max="3" width="9.6640625" style="46" bestFit="1" customWidth="1"/>
    <col min="4" max="4" width="9" style="46" bestFit="1" customWidth="1"/>
    <col min="5" max="6" width="8.88671875" style="46" bestFit="1" customWidth="1"/>
    <col min="7" max="7" width="7.33203125" style="46" bestFit="1" customWidth="1"/>
    <col min="8" max="9" width="9.6640625" style="46" bestFit="1" customWidth="1"/>
    <col min="10" max="16384" width="9.109375" style="46"/>
  </cols>
  <sheetData>
    <row r="1" spans="1:13" ht="12" x14ac:dyDescent="0.25">
      <c r="A1" s="45" t="s">
        <v>87</v>
      </c>
    </row>
    <row r="2" spans="1:13" x14ac:dyDescent="0.2">
      <c r="B2" s="47"/>
      <c r="I2" s="48"/>
      <c r="J2" s="49"/>
    </row>
    <row r="3" spans="1:13" x14ac:dyDescent="0.2">
      <c r="A3" s="46" t="s">
        <v>74</v>
      </c>
      <c r="B3" s="47" t="str">
        <f>Worksheet!C3</f>
        <v>Male</v>
      </c>
      <c r="I3" s="48"/>
      <c r="J3" s="50"/>
    </row>
    <row r="4" spans="1:13" x14ac:dyDescent="0.2">
      <c r="A4" s="46" t="s">
        <v>73</v>
      </c>
      <c r="B4" s="51">
        <f>Worksheet!C4</f>
        <v>30181</v>
      </c>
      <c r="C4" s="52">
        <f>Worksheet!D4</f>
        <v>1982.63</v>
      </c>
      <c r="I4" s="48"/>
      <c r="J4" s="53"/>
      <c r="K4" s="50"/>
    </row>
    <row r="5" spans="1:13" x14ac:dyDescent="0.2">
      <c r="A5" s="46" t="s">
        <v>75</v>
      </c>
      <c r="B5" s="51">
        <f>Worksheet!C5</f>
        <v>33834</v>
      </c>
      <c r="C5" s="52">
        <f>Worksheet!D5</f>
        <v>1992.63</v>
      </c>
    </row>
    <row r="6" spans="1:13" x14ac:dyDescent="0.2">
      <c r="M6" s="48" t="s">
        <v>52</v>
      </c>
    </row>
    <row r="7" spans="1:13" x14ac:dyDescent="0.2">
      <c r="E7" s="48" t="s">
        <v>73</v>
      </c>
      <c r="F7" s="48" t="s">
        <v>75</v>
      </c>
      <c r="G7" s="48" t="s">
        <v>17</v>
      </c>
      <c r="H7" s="48" t="s">
        <v>73</v>
      </c>
      <c r="I7" s="48" t="s">
        <v>75</v>
      </c>
      <c r="J7" s="48" t="s">
        <v>17</v>
      </c>
      <c r="K7" s="48" t="s">
        <v>52</v>
      </c>
      <c r="L7" s="48" t="s">
        <v>52</v>
      </c>
      <c r="M7" s="48" t="s">
        <v>43</v>
      </c>
    </row>
    <row r="8" spans="1:13" x14ac:dyDescent="0.2">
      <c r="A8" s="48"/>
      <c r="D8" s="48" t="s">
        <v>43</v>
      </c>
      <c r="E8" s="48" t="s">
        <v>88</v>
      </c>
      <c r="F8" s="48" t="s">
        <v>88</v>
      </c>
      <c r="G8" s="48" t="s">
        <v>88</v>
      </c>
      <c r="H8" s="48" t="s">
        <v>88</v>
      </c>
      <c r="I8" s="48" t="s">
        <v>88</v>
      </c>
      <c r="J8" s="48" t="s">
        <v>88</v>
      </c>
      <c r="K8" s="48" t="s">
        <v>48</v>
      </c>
      <c r="L8" s="48" t="s">
        <v>48</v>
      </c>
      <c r="M8" s="48" t="s">
        <v>49</v>
      </c>
    </row>
    <row r="9" spans="1:13" x14ac:dyDescent="0.2">
      <c r="A9" s="48" t="s">
        <v>0</v>
      </c>
      <c r="B9" s="48" t="s">
        <v>48</v>
      </c>
      <c r="C9" s="48" t="s">
        <v>48</v>
      </c>
      <c r="D9" s="48" t="s">
        <v>49</v>
      </c>
      <c r="E9" s="48" t="s">
        <v>89</v>
      </c>
      <c r="F9" s="48" t="s">
        <v>89</v>
      </c>
      <c r="G9" s="48" t="s">
        <v>89</v>
      </c>
      <c r="H9" s="48" t="s">
        <v>89</v>
      </c>
      <c r="I9" s="48" t="s">
        <v>89</v>
      </c>
      <c r="J9" s="48" t="s">
        <v>89</v>
      </c>
      <c r="K9" s="48">
        <v>1982.63</v>
      </c>
      <c r="L9" s="48">
        <v>1992.63</v>
      </c>
      <c r="M9" s="48" t="s">
        <v>17</v>
      </c>
    </row>
    <row r="10" spans="1:13" x14ac:dyDescent="0.2">
      <c r="A10" s="48" t="s">
        <v>1</v>
      </c>
      <c r="B10" s="48" t="s">
        <v>73</v>
      </c>
      <c r="C10" s="48" t="s">
        <v>75</v>
      </c>
      <c r="D10" s="48" t="s">
        <v>17</v>
      </c>
      <c r="H10" s="54">
        <v>1</v>
      </c>
      <c r="I10" s="54">
        <v>1</v>
      </c>
      <c r="J10" s="54">
        <v>1</v>
      </c>
      <c r="K10" s="48" t="s">
        <v>90</v>
      </c>
      <c r="L10" s="48" t="s">
        <v>91</v>
      </c>
      <c r="M10" s="48" t="s">
        <v>44</v>
      </c>
    </row>
    <row r="11" spans="1:13" x14ac:dyDescent="0.2">
      <c r="A11" s="55" t="s">
        <v>22</v>
      </c>
      <c r="B11" s="56">
        <v>-2</v>
      </c>
      <c r="C11" s="55" t="s">
        <v>24</v>
      </c>
      <c r="D11" s="55" t="s">
        <v>25</v>
      </c>
      <c r="E11" s="55" t="s">
        <v>26</v>
      </c>
      <c r="F11" s="56">
        <v>-6</v>
      </c>
      <c r="G11" s="56">
        <v>-7</v>
      </c>
      <c r="H11" s="56">
        <v>-8</v>
      </c>
      <c r="I11" s="56">
        <v>-9</v>
      </c>
      <c r="J11" s="56">
        <v>-10</v>
      </c>
      <c r="K11" s="56">
        <v>-11</v>
      </c>
      <c r="L11" s="56">
        <v>-12</v>
      </c>
      <c r="M11" s="56">
        <v>-13</v>
      </c>
    </row>
    <row r="13" spans="1:13" x14ac:dyDescent="0.2">
      <c r="A13" s="48" t="s">
        <v>2</v>
      </c>
      <c r="B13" s="57">
        <f>Worksheet!C14</f>
        <v>644716</v>
      </c>
      <c r="C13" s="57">
        <f>Worksheet!D14</f>
        <v>791447</v>
      </c>
      <c r="D13" s="57">
        <f>Worksheet!E14</f>
        <v>46743.18</v>
      </c>
      <c r="E13" s="54">
        <v>1</v>
      </c>
      <c r="F13" s="54">
        <v>1</v>
      </c>
      <c r="G13" s="54">
        <v>1</v>
      </c>
      <c r="H13" s="58">
        <f t="shared" ref="H13:H28" si="0">E13*H$10</f>
        <v>1</v>
      </c>
      <c r="I13" s="58">
        <f t="shared" ref="I13:I28" si="1">F13*I$10</f>
        <v>1</v>
      </c>
      <c r="J13" s="58">
        <f t="shared" ref="J13:J28" si="2">G13*J$10</f>
        <v>1</v>
      </c>
      <c r="K13" s="59">
        <f t="shared" ref="K13:K28" si="3">B13/(H13)</f>
        <v>644716</v>
      </c>
      <c r="L13" s="59">
        <f t="shared" ref="L13:L28" si="4">C13/(I13)</f>
        <v>791447</v>
      </c>
      <c r="M13" s="59">
        <f t="shared" ref="M13:M28" si="5">D13/(J13)</f>
        <v>46743.18</v>
      </c>
    </row>
    <row r="14" spans="1:13" x14ac:dyDescent="0.2">
      <c r="A14" s="48" t="s">
        <v>3</v>
      </c>
      <c r="B14" s="57">
        <f>Worksheet!C15</f>
        <v>614081</v>
      </c>
      <c r="C14" s="57">
        <f>Worksheet!D15</f>
        <v>823904</v>
      </c>
      <c r="D14" s="57">
        <f>Worksheet!E15</f>
        <v>3101.29</v>
      </c>
      <c r="E14" s="54">
        <v>1</v>
      </c>
      <c r="F14" s="54">
        <v>1</v>
      </c>
      <c r="G14" s="54">
        <v>1</v>
      </c>
      <c r="H14" s="58">
        <f t="shared" si="0"/>
        <v>1</v>
      </c>
      <c r="I14" s="58">
        <f t="shared" si="1"/>
        <v>1</v>
      </c>
      <c r="J14" s="58">
        <f t="shared" si="2"/>
        <v>1</v>
      </c>
      <c r="K14" s="59">
        <f t="shared" si="3"/>
        <v>614081</v>
      </c>
      <c r="L14" s="59">
        <f t="shared" si="4"/>
        <v>823904</v>
      </c>
      <c r="M14" s="59">
        <f t="shared" si="5"/>
        <v>3101.29</v>
      </c>
    </row>
    <row r="15" spans="1:13" x14ac:dyDescent="0.2">
      <c r="A15" s="48" t="s">
        <v>4</v>
      </c>
      <c r="B15" s="57">
        <f>Worksheet!C16</f>
        <v>530892</v>
      </c>
      <c r="C15" s="57">
        <f>Worksheet!D16</f>
        <v>727187</v>
      </c>
      <c r="D15" s="57">
        <f>Worksheet!E16</f>
        <v>2493.5700000000002</v>
      </c>
      <c r="E15" s="54">
        <v>1</v>
      </c>
      <c r="F15" s="54">
        <v>1</v>
      </c>
      <c r="G15" s="54">
        <v>1</v>
      </c>
      <c r="H15" s="58">
        <f t="shared" si="0"/>
        <v>1</v>
      </c>
      <c r="I15" s="58">
        <f t="shared" si="1"/>
        <v>1</v>
      </c>
      <c r="J15" s="58">
        <f t="shared" si="2"/>
        <v>1</v>
      </c>
      <c r="K15" s="59">
        <f t="shared" si="3"/>
        <v>530892</v>
      </c>
      <c r="L15" s="59">
        <f t="shared" si="4"/>
        <v>727187</v>
      </c>
      <c r="M15" s="59">
        <f t="shared" si="5"/>
        <v>2493.5700000000002</v>
      </c>
    </row>
    <row r="16" spans="1:13" x14ac:dyDescent="0.2">
      <c r="A16" s="48" t="s">
        <v>5</v>
      </c>
      <c r="B16" s="57">
        <f>Worksheet!C17</f>
        <v>391001</v>
      </c>
      <c r="C16" s="57">
        <f>Worksheet!D17</f>
        <v>617666</v>
      </c>
      <c r="D16" s="57">
        <f>Worksheet!E17</f>
        <v>3652.04</v>
      </c>
      <c r="E16" s="54">
        <v>1</v>
      </c>
      <c r="F16" s="54">
        <v>1</v>
      </c>
      <c r="G16" s="54">
        <v>1</v>
      </c>
      <c r="H16" s="58">
        <f t="shared" si="0"/>
        <v>1</v>
      </c>
      <c r="I16" s="58">
        <f t="shared" si="1"/>
        <v>1</v>
      </c>
      <c r="J16" s="58">
        <f t="shared" si="2"/>
        <v>1</v>
      </c>
      <c r="K16" s="59">
        <f t="shared" si="3"/>
        <v>391001</v>
      </c>
      <c r="L16" s="59">
        <f t="shared" si="4"/>
        <v>617666</v>
      </c>
      <c r="M16" s="59">
        <f t="shared" si="5"/>
        <v>3652.04</v>
      </c>
    </row>
    <row r="17" spans="1:13" x14ac:dyDescent="0.2">
      <c r="A17" s="48" t="s">
        <v>6</v>
      </c>
      <c r="B17" s="57">
        <f>Worksheet!C18</f>
        <v>291006</v>
      </c>
      <c r="C17" s="57">
        <f>Worksheet!D18</f>
        <v>468307</v>
      </c>
      <c r="D17" s="57">
        <f>Worksheet!E18</f>
        <v>5853.97</v>
      </c>
      <c r="E17" s="54">
        <v>1</v>
      </c>
      <c r="F17" s="54">
        <v>1</v>
      </c>
      <c r="G17" s="54">
        <v>1</v>
      </c>
      <c r="H17" s="58">
        <f t="shared" si="0"/>
        <v>1</v>
      </c>
      <c r="I17" s="58">
        <f t="shared" si="1"/>
        <v>1</v>
      </c>
      <c r="J17" s="58">
        <f t="shared" si="2"/>
        <v>1</v>
      </c>
      <c r="K17" s="59">
        <f t="shared" si="3"/>
        <v>291006</v>
      </c>
      <c r="L17" s="59">
        <f t="shared" si="4"/>
        <v>468307</v>
      </c>
      <c r="M17" s="59">
        <f t="shared" si="5"/>
        <v>5853.97</v>
      </c>
    </row>
    <row r="18" spans="1:13" x14ac:dyDescent="0.2">
      <c r="A18" s="48" t="s">
        <v>7</v>
      </c>
      <c r="B18" s="57">
        <f>Worksheet!C19</f>
        <v>243945</v>
      </c>
      <c r="C18" s="57">
        <f>Worksheet!D19</f>
        <v>336770</v>
      </c>
      <c r="D18" s="57">
        <f>Worksheet!E19</f>
        <v>8135.37</v>
      </c>
      <c r="E18" s="54">
        <v>1</v>
      </c>
      <c r="F18" s="54">
        <v>1</v>
      </c>
      <c r="G18" s="54">
        <v>1</v>
      </c>
      <c r="H18" s="58">
        <f t="shared" si="0"/>
        <v>1</v>
      </c>
      <c r="I18" s="58">
        <f t="shared" si="1"/>
        <v>1</v>
      </c>
      <c r="J18" s="58">
        <f t="shared" si="2"/>
        <v>1</v>
      </c>
      <c r="K18" s="59">
        <f t="shared" si="3"/>
        <v>243945</v>
      </c>
      <c r="L18" s="59">
        <f t="shared" si="4"/>
        <v>336770</v>
      </c>
      <c r="M18" s="59">
        <f t="shared" si="5"/>
        <v>8135.37</v>
      </c>
    </row>
    <row r="19" spans="1:13" x14ac:dyDescent="0.2">
      <c r="A19" s="48" t="s">
        <v>8</v>
      </c>
      <c r="B19" s="57">
        <f>Worksheet!C20</f>
        <v>185800</v>
      </c>
      <c r="C19" s="57">
        <f>Worksheet!D20</f>
        <v>280948</v>
      </c>
      <c r="D19" s="57">
        <f>Worksheet!E20</f>
        <v>9483.7900000000009</v>
      </c>
      <c r="E19" s="54">
        <v>1</v>
      </c>
      <c r="F19" s="54">
        <v>1</v>
      </c>
      <c r="G19" s="54">
        <v>1</v>
      </c>
      <c r="H19" s="58">
        <f t="shared" si="0"/>
        <v>1</v>
      </c>
      <c r="I19" s="58">
        <f t="shared" si="1"/>
        <v>1</v>
      </c>
      <c r="J19" s="58">
        <f t="shared" si="2"/>
        <v>1</v>
      </c>
      <c r="K19" s="59">
        <f t="shared" si="3"/>
        <v>185800</v>
      </c>
      <c r="L19" s="59">
        <f t="shared" si="4"/>
        <v>280948</v>
      </c>
      <c r="M19" s="59">
        <f t="shared" si="5"/>
        <v>9483.7900000000009</v>
      </c>
    </row>
    <row r="20" spans="1:13" x14ac:dyDescent="0.2">
      <c r="A20" s="48" t="s">
        <v>9</v>
      </c>
      <c r="B20" s="57">
        <f>Worksheet!C21</f>
        <v>148239</v>
      </c>
      <c r="C20" s="57">
        <f>Worksheet!D21</f>
        <v>230082</v>
      </c>
      <c r="D20" s="57">
        <f>Worksheet!E21</f>
        <v>8693.9699999999993</v>
      </c>
      <c r="E20" s="54">
        <v>1</v>
      </c>
      <c r="F20" s="54">
        <v>1</v>
      </c>
      <c r="G20" s="54">
        <v>1</v>
      </c>
      <c r="H20" s="58">
        <f t="shared" si="0"/>
        <v>1</v>
      </c>
      <c r="I20" s="58">
        <f t="shared" si="1"/>
        <v>1</v>
      </c>
      <c r="J20" s="58">
        <f t="shared" si="2"/>
        <v>1</v>
      </c>
      <c r="K20" s="59">
        <f t="shared" si="3"/>
        <v>148239</v>
      </c>
      <c r="L20" s="59">
        <f t="shared" si="4"/>
        <v>230082</v>
      </c>
      <c r="M20" s="59">
        <f t="shared" si="5"/>
        <v>8693.9699999999993</v>
      </c>
    </row>
    <row r="21" spans="1:13" x14ac:dyDescent="0.2">
      <c r="A21" s="48" t="s">
        <v>10</v>
      </c>
      <c r="B21" s="57">
        <f>Worksheet!C22</f>
        <v>142356</v>
      </c>
      <c r="C21" s="57">
        <f>Worksheet!D22</f>
        <v>174815</v>
      </c>
      <c r="D21" s="57">
        <f>Worksheet!E22</f>
        <v>8485.65</v>
      </c>
      <c r="E21" s="54">
        <v>1</v>
      </c>
      <c r="F21" s="54">
        <v>1</v>
      </c>
      <c r="G21" s="54">
        <v>1</v>
      </c>
      <c r="H21" s="58">
        <f t="shared" si="0"/>
        <v>1</v>
      </c>
      <c r="I21" s="58">
        <f t="shared" si="1"/>
        <v>1</v>
      </c>
      <c r="J21" s="58">
        <f t="shared" si="2"/>
        <v>1</v>
      </c>
      <c r="K21" s="59">
        <f t="shared" si="3"/>
        <v>142356</v>
      </c>
      <c r="L21" s="59">
        <f t="shared" si="4"/>
        <v>174815</v>
      </c>
      <c r="M21" s="59">
        <f t="shared" si="5"/>
        <v>8485.65</v>
      </c>
    </row>
    <row r="22" spans="1:13" x14ac:dyDescent="0.2">
      <c r="A22" s="48" t="s">
        <v>11</v>
      </c>
      <c r="B22" s="57">
        <f>Worksheet!C23</f>
        <v>116741</v>
      </c>
      <c r="C22" s="57">
        <f>Worksheet!D23</f>
        <v>145895</v>
      </c>
      <c r="D22" s="57">
        <f>Worksheet!E23</f>
        <v>8580.4500000000007</v>
      </c>
      <c r="E22" s="54">
        <v>1</v>
      </c>
      <c r="F22" s="54">
        <v>1</v>
      </c>
      <c r="G22" s="54">
        <v>1</v>
      </c>
      <c r="H22" s="58">
        <f t="shared" si="0"/>
        <v>1</v>
      </c>
      <c r="I22" s="58">
        <f t="shared" si="1"/>
        <v>1</v>
      </c>
      <c r="J22" s="58">
        <f t="shared" si="2"/>
        <v>1</v>
      </c>
      <c r="K22" s="59">
        <f t="shared" si="3"/>
        <v>116741</v>
      </c>
      <c r="L22" s="59">
        <f t="shared" si="4"/>
        <v>145895</v>
      </c>
      <c r="M22" s="59">
        <f t="shared" si="5"/>
        <v>8580.4500000000007</v>
      </c>
    </row>
    <row r="23" spans="1:13" x14ac:dyDescent="0.2">
      <c r="A23" s="48" t="s">
        <v>12</v>
      </c>
      <c r="B23" s="57">
        <f>Worksheet!C24</f>
        <v>112021</v>
      </c>
      <c r="C23" s="57">
        <f>Worksheet!D24</f>
        <v>133680</v>
      </c>
      <c r="D23" s="57">
        <f>Worksheet!E24</f>
        <v>11717.1</v>
      </c>
      <c r="E23" s="54">
        <v>1</v>
      </c>
      <c r="F23" s="54">
        <v>1</v>
      </c>
      <c r="G23" s="54">
        <v>1</v>
      </c>
      <c r="H23" s="58">
        <f t="shared" si="0"/>
        <v>1</v>
      </c>
      <c r="I23" s="58">
        <f t="shared" si="1"/>
        <v>1</v>
      </c>
      <c r="J23" s="58">
        <f t="shared" si="2"/>
        <v>1</v>
      </c>
      <c r="K23" s="59">
        <f t="shared" si="3"/>
        <v>112021</v>
      </c>
      <c r="L23" s="59">
        <f t="shared" si="4"/>
        <v>133680</v>
      </c>
      <c r="M23" s="59">
        <f t="shared" si="5"/>
        <v>11717.1</v>
      </c>
    </row>
    <row r="24" spans="1:13" x14ac:dyDescent="0.2">
      <c r="A24" s="48" t="s">
        <v>13</v>
      </c>
      <c r="B24" s="57">
        <f>Worksheet!C25</f>
        <v>67545</v>
      </c>
      <c r="C24" s="57">
        <f>Worksheet!D25</f>
        <v>95011</v>
      </c>
      <c r="D24" s="57">
        <f>Worksheet!E25</f>
        <v>10344.719999999999</v>
      </c>
      <c r="E24" s="54">
        <v>1</v>
      </c>
      <c r="F24" s="54">
        <v>1</v>
      </c>
      <c r="G24" s="54">
        <v>1</v>
      </c>
      <c r="H24" s="58">
        <f t="shared" si="0"/>
        <v>1</v>
      </c>
      <c r="I24" s="58">
        <f t="shared" si="1"/>
        <v>1</v>
      </c>
      <c r="J24" s="58">
        <f t="shared" si="2"/>
        <v>1</v>
      </c>
      <c r="K24" s="59">
        <f t="shared" si="3"/>
        <v>67545</v>
      </c>
      <c r="L24" s="59">
        <f t="shared" si="4"/>
        <v>95011</v>
      </c>
      <c r="M24" s="59">
        <f t="shared" si="5"/>
        <v>10344.719999999999</v>
      </c>
    </row>
    <row r="25" spans="1:13" x14ac:dyDescent="0.2">
      <c r="A25" s="48" t="s">
        <v>14</v>
      </c>
      <c r="B25" s="57">
        <f>Worksheet!C26</f>
        <v>77016</v>
      </c>
      <c r="C25" s="57">
        <f>Worksheet!D26</f>
        <v>95811</v>
      </c>
      <c r="D25" s="57">
        <f>Worksheet!E26</f>
        <v>15025.25</v>
      </c>
      <c r="E25" s="54">
        <v>1</v>
      </c>
      <c r="F25" s="54">
        <v>1</v>
      </c>
      <c r="G25" s="54">
        <v>1</v>
      </c>
      <c r="H25" s="58">
        <f t="shared" si="0"/>
        <v>1</v>
      </c>
      <c r="I25" s="58">
        <f t="shared" si="1"/>
        <v>1</v>
      </c>
      <c r="J25" s="58">
        <f t="shared" si="2"/>
        <v>1</v>
      </c>
      <c r="K25" s="59">
        <f t="shared" si="3"/>
        <v>77016</v>
      </c>
      <c r="L25" s="59">
        <f t="shared" si="4"/>
        <v>95811</v>
      </c>
      <c r="M25" s="59">
        <f t="shared" si="5"/>
        <v>15025.25</v>
      </c>
    </row>
    <row r="26" spans="1:13" x14ac:dyDescent="0.2">
      <c r="A26" s="48" t="s">
        <v>15</v>
      </c>
      <c r="B26" s="57">
        <f>Worksheet!C27</f>
        <v>38894</v>
      </c>
      <c r="C26" s="57">
        <f>Worksheet!D27</f>
        <v>51363</v>
      </c>
      <c r="D26" s="57">
        <f>Worksheet!E27</f>
        <v>11024.41</v>
      </c>
      <c r="E26" s="54">
        <v>1</v>
      </c>
      <c r="F26" s="54">
        <v>1</v>
      </c>
      <c r="G26" s="54">
        <v>1</v>
      </c>
      <c r="H26" s="58">
        <f t="shared" si="0"/>
        <v>1</v>
      </c>
      <c r="I26" s="58">
        <f t="shared" si="1"/>
        <v>1</v>
      </c>
      <c r="J26" s="58">
        <f t="shared" si="2"/>
        <v>1</v>
      </c>
      <c r="K26" s="59">
        <f t="shared" si="3"/>
        <v>38894</v>
      </c>
      <c r="L26" s="59">
        <f t="shared" si="4"/>
        <v>51363</v>
      </c>
      <c r="M26" s="59">
        <f t="shared" si="5"/>
        <v>11024.41</v>
      </c>
    </row>
    <row r="27" spans="1:13" x14ac:dyDescent="0.2">
      <c r="A27" s="48" t="s">
        <v>16</v>
      </c>
      <c r="B27" s="57">
        <f>Worksheet!C28</f>
        <v>29874</v>
      </c>
      <c r="C27" s="57">
        <f>Worksheet!D28</f>
        <v>58462</v>
      </c>
      <c r="D27" s="57">
        <f>Worksheet!E28</f>
        <v>12145.24</v>
      </c>
      <c r="E27" s="54">
        <v>1</v>
      </c>
      <c r="F27" s="54">
        <v>1</v>
      </c>
      <c r="G27" s="54">
        <v>1</v>
      </c>
      <c r="H27" s="58">
        <f t="shared" si="0"/>
        <v>1</v>
      </c>
      <c r="I27" s="58">
        <f t="shared" si="1"/>
        <v>1</v>
      </c>
      <c r="J27" s="58">
        <f t="shared" si="2"/>
        <v>1</v>
      </c>
      <c r="K27" s="59">
        <f t="shared" si="3"/>
        <v>29874</v>
      </c>
      <c r="L27" s="59">
        <f t="shared" si="4"/>
        <v>58462</v>
      </c>
      <c r="M27" s="59">
        <f t="shared" si="5"/>
        <v>12145.24</v>
      </c>
    </row>
    <row r="28" spans="1:13" x14ac:dyDescent="0.2">
      <c r="A28" s="48" t="s">
        <v>47</v>
      </c>
      <c r="B28" s="57">
        <f>Worksheet!C29</f>
        <v>39495</v>
      </c>
      <c r="C28" s="57">
        <f>Worksheet!D29</f>
        <v>52190</v>
      </c>
      <c r="D28" s="57">
        <f>Worksheet!E29</f>
        <v>13347.73</v>
      </c>
      <c r="E28" s="54">
        <v>1</v>
      </c>
      <c r="F28" s="54">
        <v>1</v>
      </c>
      <c r="G28" s="54">
        <v>1</v>
      </c>
      <c r="H28" s="58">
        <f t="shared" si="0"/>
        <v>1</v>
      </c>
      <c r="I28" s="58">
        <f t="shared" si="1"/>
        <v>1</v>
      </c>
      <c r="J28" s="58">
        <f t="shared" si="2"/>
        <v>1</v>
      </c>
      <c r="K28" s="59">
        <f t="shared" si="3"/>
        <v>39495</v>
      </c>
      <c r="L28" s="59">
        <f t="shared" si="4"/>
        <v>52190</v>
      </c>
      <c r="M28" s="59">
        <f t="shared" si="5"/>
        <v>13347.73</v>
      </c>
    </row>
  </sheetData>
  <printOptions gridLines="1"/>
  <pageMargins left="0.75" right="0.75" top="1" bottom="1" header="0.5" footer="0.5"/>
  <pageSetup orientation="landscape" horizontalDpi="4294967292" verticalDpi="300" r:id="rId1"/>
  <headerFooter alignWithMargins="0">
    <oddHeader>&amp;A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0"/>
  <sheetViews>
    <sheetView workbookViewId="0">
      <selection activeCell="I17" sqref="I17"/>
    </sheetView>
  </sheetViews>
  <sheetFormatPr defaultRowHeight="13.2" x14ac:dyDescent="0.25"/>
  <sheetData>
    <row r="1" spans="1:1" x14ac:dyDescent="0.25">
      <c r="A1" s="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6" spans="1:1" x14ac:dyDescent="0.25">
      <c r="A6" s="1"/>
    </row>
    <row r="20" spans="1:1" x14ac:dyDescent="0.25">
      <c r="A20" s="1"/>
    </row>
  </sheetData>
  <printOptions gridLines="1"/>
  <pageMargins left="0.75" right="0.75" top="1" bottom="1" header="0.5" footer="0.5"/>
  <pageSetup orientation="portrait" horizontalDpi="4294967292" verticalDpi="300" r:id="rId1"/>
  <headerFooter alignWithMargins="0">
    <oddHeader>&amp;A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Worksheet</vt:lpstr>
      <vt:lpstr>LifeTable</vt:lpstr>
      <vt:lpstr>Error Scenarios</vt:lpstr>
      <vt:lpstr>Reference</vt:lpstr>
      <vt:lpstr>Worksheet!Print_Area</vt:lpstr>
    </vt:vector>
  </TitlesOfParts>
  <Company>World Health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Extinct Generations (Bennett-Horiuchi) Method</dc:title>
  <dc:creator>m-moradi</dc:creator>
  <cp:lastModifiedBy>m-moradi</cp:lastModifiedBy>
  <cp:lastPrinted>1999-06-12T11:14:20Z</cp:lastPrinted>
  <dcterms:created xsi:type="dcterms:W3CDTF">1998-10-02T17:40:58Z</dcterms:created>
  <dcterms:modified xsi:type="dcterms:W3CDTF">2021-01-07T06:47:58Z</dcterms:modified>
</cp:coreProperties>
</file>